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WarrenMcG/Documents/Medical School/MSTP/Thesis Lab/Manuscripts/sleuth-ALR_Paper/new_approach/"/>
    </mc:Choice>
  </mc:AlternateContent>
  <xr:revisionPtr revIDLastSave="0" documentId="13_ncr:1_{8D5CB447-B181-2C46-977D-713AA0AD3CA4}" xr6:coauthVersionLast="40" xr6:coauthVersionMax="40" xr10:uidLastSave="{00000000-0000-0000-0000-000000000000}"/>
  <bookViews>
    <workbookView xWindow="0" yWindow="460" windowWidth="24740" windowHeight="14100" activeTab="1" xr2:uid="{00000000-000D-0000-FFFF-FFFF00000000}"/>
  </bookViews>
  <sheets>
    <sheet name="Supplementary Tab S1" sheetId="7" r:id="rId1"/>
    <sheet name="Supplementary Tab S2" sheetId="8" r:id="rId2"/>
    <sheet name="Supplementary Tab S3" sheetId="2" r:id="rId3"/>
    <sheet name="Supplementary Tab S4" sheetId="4" r:id="rId4"/>
    <sheet name="Supplementary Tab S5" sheetId="5" r:id="rId5"/>
    <sheet name="Supplementary Tab S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9" i="7" l="1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I19" i="7" l="1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E18" i="8"/>
  <c r="E17" i="8"/>
  <c r="E16" i="8"/>
  <c r="E15" i="8"/>
  <c r="H6" i="8" s="1"/>
  <c r="E14" i="8"/>
  <c r="E13" i="8"/>
  <c r="E12" i="8"/>
  <c r="E11" i="8"/>
  <c r="E10" i="8"/>
  <c r="E9" i="8"/>
  <c r="E8" i="8"/>
  <c r="E7" i="8"/>
  <c r="E6" i="8"/>
  <c r="E5" i="8"/>
  <c r="E4" i="8"/>
  <c r="S6" i="2"/>
  <c r="I7" i="6"/>
  <c r="M11" i="6"/>
  <c r="N11" i="6" s="1"/>
  <c r="M7" i="6"/>
  <c r="M8" i="6"/>
  <c r="N8" i="6" s="1"/>
  <c r="M9" i="6"/>
  <c r="N9" i="6"/>
  <c r="M10" i="6"/>
  <c r="N10" i="6" s="1"/>
  <c r="I6" i="6"/>
  <c r="I8" i="6"/>
  <c r="J8" i="6" s="1"/>
  <c r="B8" i="6" s="1"/>
  <c r="I9" i="6"/>
  <c r="O9" i="6" s="1"/>
  <c r="P9" i="6" s="1"/>
  <c r="I10" i="6"/>
  <c r="P11" i="5"/>
  <c r="M11" i="4"/>
  <c r="N11" i="4" s="1"/>
  <c r="I9" i="4"/>
  <c r="J9" i="4" s="1"/>
  <c r="B9" i="4" s="1"/>
  <c r="I8" i="4"/>
  <c r="I10" i="4"/>
  <c r="I6" i="4"/>
  <c r="I7" i="4"/>
  <c r="H14" i="4"/>
  <c r="H13" i="4"/>
  <c r="M12" i="4"/>
  <c r="B12" i="4"/>
  <c r="B11" i="4"/>
  <c r="M10" i="4"/>
  <c r="N10" i="4"/>
  <c r="M9" i="4"/>
  <c r="N9" i="4" s="1"/>
  <c r="M8" i="4"/>
  <c r="M7" i="4"/>
  <c r="N7" i="4" s="1"/>
  <c r="U6" i="4"/>
  <c r="M6" i="4"/>
  <c r="N6" i="4" s="1"/>
  <c r="I9" i="5"/>
  <c r="I8" i="5"/>
  <c r="I7" i="5"/>
  <c r="I10" i="5"/>
  <c r="J10" i="5" s="1"/>
  <c r="B10" i="5" s="1"/>
  <c r="H13" i="5"/>
  <c r="I6" i="5"/>
  <c r="H14" i="5"/>
  <c r="M12" i="5"/>
  <c r="B12" i="5"/>
  <c r="M11" i="5"/>
  <c r="B11" i="5"/>
  <c r="M10" i="5"/>
  <c r="N10" i="5" s="1"/>
  <c r="M9" i="5"/>
  <c r="N9" i="5" s="1"/>
  <c r="M8" i="5"/>
  <c r="N8" i="5" s="1"/>
  <c r="J8" i="5"/>
  <c r="B8" i="5" s="1"/>
  <c r="M7" i="5"/>
  <c r="N7" i="5" s="1"/>
  <c r="U6" i="5"/>
  <c r="M6" i="5"/>
  <c r="N6" i="5" s="1"/>
  <c r="G10" i="2"/>
  <c r="H10" i="2" s="1"/>
  <c r="B10" i="2" s="1"/>
  <c r="G9" i="2"/>
  <c r="M8" i="2" s="1"/>
  <c r="N8" i="2" s="1"/>
  <c r="G8" i="2"/>
  <c r="H8" i="2" s="1"/>
  <c r="B8" i="2" s="1"/>
  <c r="G7" i="2"/>
  <c r="G6" i="2"/>
  <c r="H6" i="2" s="1"/>
  <c r="B6" i="2" s="1"/>
  <c r="H14" i="6"/>
  <c r="H13" i="6"/>
  <c r="M12" i="6"/>
  <c r="B12" i="6"/>
  <c r="B11" i="6"/>
  <c r="U6" i="6"/>
  <c r="M6" i="6"/>
  <c r="N6" i="6" s="1"/>
  <c r="F11" i="2"/>
  <c r="K10" i="2"/>
  <c r="L10" i="2" s="1"/>
  <c r="K9" i="2"/>
  <c r="L9" i="2" s="1"/>
  <c r="K8" i="2"/>
  <c r="L8" i="2" s="1"/>
  <c r="K7" i="2"/>
  <c r="K6" i="2"/>
  <c r="L6" i="2" s="1"/>
  <c r="F12" i="2"/>
  <c r="J8" i="4"/>
  <c r="B8" i="4" s="1"/>
  <c r="J10" i="4"/>
  <c r="B10" i="4" s="1"/>
  <c r="J6" i="5"/>
  <c r="B6" i="5" s="1"/>
  <c r="J6" i="6"/>
  <c r="B6" i="6"/>
  <c r="J7" i="6"/>
  <c r="B7" i="6" s="1"/>
  <c r="N13" i="5" l="1"/>
  <c r="O6" i="6"/>
  <c r="P6" i="6" s="1"/>
  <c r="G11" i="2"/>
  <c r="H11" i="2" s="1"/>
  <c r="J9" i="6"/>
  <c r="B9" i="6" s="1"/>
  <c r="M14" i="6"/>
  <c r="H4" i="8"/>
  <c r="H5" i="8"/>
  <c r="M7" i="2"/>
  <c r="N7" i="2" s="1"/>
  <c r="N14" i="5"/>
  <c r="I14" i="5"/>
  <c r="J14" i="5" s="1"/>
  <c r="G12" i="2"/>
  <c r="H12" i="2" s="1"/>
  <c r="M13" i="5"/>
  <c r="K12" i="2"/>
  <c r="H7" i="2"/>
  <c r="B7" i="2" s="1"/>
  <c r="O6" i="5"/>
  <c r="P6" i="5" s="1"/>
  <c r="O10" i="6"/>
  <c r="P10" i="6" s="1"/>
  <c r="N7" i="6"/>
  <c r="L7" i="2"/>
  <c r="Q7" i="2" s="1"/>
  <c r="M13" i="6"/>
  <c r="O10" i="5"/>
  <c r="P10" i="5" s="1"/>
  <c r="J10" i="6"/>
  <c r="B10" i="6" s="1"/>
  <c r="J9" i="5"/>
  <c r="B9" i="5" s="1"/>
  <c r="O7" i="4"/>
  <c r="P7" i="4" s="1"/>
  <c r="S9" i="6"/>
  <c r="M10" i="2"/>
  <c r="N10" i="2" s="1"/>
  <c r="I14" i="6"/>
  <c r="J14" i="6" s="1"/>
  <c r="N14" i="6"/>
  <c r="O8" i="6"/>
  <c r="P8" i="6" s="1"/>
  <c r="O11" i="6"/>
  <c r="P11" i="6" s="1"/>
  <c r="I13" i="6"/>
  <c r="J13" i="6" s="1"/>
  <c r="O8" i="5"/>
  <c r="P8" i="5" s="1"/>
  <c r="O12" i="6"/>
  <c r="O12" i="4"/>
  <c r="O10" i="4"/>
  <c r="P10" i="4" s="1"/>
  <c r="O11" i="4"/>
  <c r="J7" i="4"/>
  <c r="B7" i="4" s="1"/>
  <c r="J6" i="4"/>
  <c r="B6" i="4" s="1"/>
  <c r="S9" i="5"/>
  <c r="S10" i="5"/>
  <c r="S11" i="5"/>
  <c r="S8" i="6"/>
  <c r="S12" i="5"/>
  <c r="M9" i="2"/>
  <c r="N9" i="2" s="1"/>
  <c r="H9" i="2"/>
  <c r="B9" i="2" s="1"/>
  <c r="O9" i="5"/>
  <c r="P9" i="5" s="1"/>
  <c r="O12" i="5"/>
  <c r="I13" i="5"/>
  <c r="J13" i="5" s="1"/>
  <c r="O7" i="5"/>
  <c r="J7" i="5"/>
  <c r="B7" i="5" s="1"/>
  <c r="O11" i="5"/>
  <c r="M14" i="4"/>
  <c r="P11" i="4"/>
  <c r="S11" i="6"/>
  <c r="S7" i="5"/>
  <c r="N8" i="4"/>
  <c r="S12" i="4" s="1"/>
  <c r="M13" i="4"/>
  <c r="I13" i="4"/>
  <c r="J13" i="4" s="1"/>
  <c r="I14" i="4"/>
  <c r="J14" i="4" s="1"/>
  <c r="O9" i="4"/>
  <c r="P9" i="4" s="1"/>
  <c r="O8" i="4"/>
  <c r="S12" i="6"/>
  <c r="M6" i="2"/>
  <c r="K11" i="2"/>
  <c r="M14" i="5"/>
  <c r="O6" i="4"/>
  <c r="S8" i="5"/>
  <c r="N13" i="6"/>
  <c r="O7" i="6"/>
  <c r="Q9" i="2" l="1"/>
  <c r="Q8" i="2"/>
  <c r="L12" i="2"/>
  <c r="L11" i="2"/>
  <c r="S7" i="6"/>
  <c r="X7" i="6" s="1"/>
  <c r="S10" i="6"/>
  <c r="AC10" i="6" s="1"/>
  <c r="Q10" i="2"/>
  <c r="R9" i="2"/>
  <c r="S9" i="2" s="1"/>
  <c r="C9" i="2" s="1"/>
  <c r="AC9" i="6"/>
  <c r="S10" i="4"/>
  <c r="X10" i="4" s="1"/>
  <c r="S11" i="4"/>
  <c r="AC11" i="4" s="1"/>
  <c r="N14" i="4"/>
  <c r="AC12" i="4"/>
  <c r="AC6" i="4"/>
  <c r="S14" i="5"/>
  <c r="AC7" i="5"/>
  <c r="X7" i="5"/>
  <c r="S7" i="4"/>
  <c r="AC9" i="5"/>
  <c r="X9" i="5"/>
  <c r="M11" i="2"/>
  <c r="O13" i="6"/>
  <c r="P7" i="6"/>
  <c r="O14" i="6"/>
  <c r="AC12" i="6"/>
  <c r="X12" i="6"/>
  <c r="AC6" i="6"/>
  <c r="AC8" i="6"/>
  <c r="X8" i="6"/>
  <c r="X10" i="5"/>
  <c r="AC10" i="5"/>
  <c r="X6" i="4"/>
  <c r="S13" i="4"/>
  <c r="P8" i="4"/>
  <c r="O13" i="4"/>
  <c r="X8" i="5"/>
  <c r="AC8" i="5"/>
  <c r="N6" i="2"/>
  <c r="N12" i="2" s="1"/>
  <c r="M12" i="2"/>
  <c r="S13" i="6"/>
  <c r="X11" i="6"/>
  <c r="X6" i="6"/>
  <c r="AC11" i="6"/>
  <c r="X9" i="6"/>
  <c r="X10" i="6"/>
  <c r="O14" i="4"/>
  <c r="P6" i="4"/>
  <c r="S9" i="4"/>
  <c r="S8" i="4"/>
  <c r="N13" i="4"/>
  <c r="O13" i="5"/>
  <c r="P7" i="5"/>
  <c r="T9" i="5" s="1"/>
  <c r="O14" i="5"/>
  <c r="X12" i="5"/>
  <c r="AC12" i="5"/>
  <c r="AC6" i="5"/>
  <c r="X11" i="5"/>
  <c r="X6" i="5"/>
  <c r="S13" i="5"/>
  <c r="AC11" i="5"/>
  <c r="R8" i="2"/>
  <c r="S8" i="2" s="1"/>
  <c r="C8" i="2" s="1"/>
  <c r="N11" i="2"/>
  <c r="R7" i="2"/>
  <c r="S7" i="2" s="1"/>
  <c r="C7" i="2" s="1"/>
  <c r="R10" i="2"/>
  <c r="S10" i="2" s="1"/>
  <c r="C10" i="2" s="1"/>
  <c r="S14" i="6" l="1"/>
  <c r="AC7" i="6"/>
  <c r="AC10" i="4"/>
  <c r="X12" i="4"/>
  <c r="X11" i="4"/>
  <c r="T8" i="4"/>
  <c r="T12" i="4"/>
  <c r="P13" i="4"/>
  <c r="T7" i="4"/>
  <c r="T10" i="4"/>
  <c r="U9" i="5"/>
  <c r="C9" i="5" s="1"/>
  <c r="P13" i="5"/>
  <c r="T11" i="5"/>
  <c r="Y9" i="5" s="1"/>
  <c r="Z9" i="5" s="1"/>
  <c r="D9" i="5" s="1"/>
  <c r="T7" i="5"/>
  <c r="T12" i="5"/>
  <c r="P14" i="5"/>
  <c r="T8" i="5"/>
  <c r="T10" i="5"/>
  <c r="X9" i="4"/>
  <c r="AC9" i="4"/>
  <c r="AC8" i="4"/>
  <c r="X8" i="4"/>
  <c r="T11" i="4"/>
  <c r="P14" i="4"/>
  <c r="T9" i="4"/>
  <c r="T7" i="6"/>
  <c r="T12" i="6"/>
  <c r="P13" i="6"/>
  <c r="P14" i="6"/>
  <c r="T11" i="6"/>
  <c r="T9" i="6"/>
  <c r="T10" i="6"/>
  <c r="T8" i="6"/>
  <c r="S14" i="4"/>
  <c r="AC7" i="4"/>
  <c r="X7" i="4"/>
  <c r="AD10" i="5" l="1"/>
  <c r="AE10" i="5" s="1"/>
  <c r="E10" i="5" s="1"/>
  <c r="U10" i="5"/>
  <c r="C10" i="5" s="1"/>
  <c r="Y10" i="5"/>
  <c r="Z10" i="5" s="1"/>
  <c r="D10" i="5" s="1"/>
  <c r="T14" i="5"/>
  <c r="AD7" i="5"/>
  <c r="AE7" i="5" s="1"/>
  <c r="E7" i="5" s="1"/>
  <c r="Y7" i="5"/>
  <c r="Z7" i="5" s="1"/>
  <c r="D7" i="5" s="1"/>
  <c r="U7" i="5"/>
  <c r="C7" i="5" s="1"/>
  <c r="U8" i="6"/>
  <c r="C8" i="6" s="1"/>
  <c r="Y8" i="6"/>
  <c r="Z8" i="6" s="1"/>
  <c r="D8" i="6" s="1"/>
  <c r="AD8" i="6"/>
  <c r="AE8" i="6" s="1"/>
  <c r="E8" i="6" s="1"/>
  <c r="Y12" i="4"/>
  <c r="Z12" i="4" s="1"/>
  <c r="D12" i="4" s="1"/>
  <c r="U12" i="4"/>
  <c r="C12" i="4" s="1"/>
  <c r="AD6" i="4"/>
  <c r="AE6" i="4" s="1"/>
  <c r="AD12" i="4"/>
  <c r="AE12" i="4" s="1"/>
  <c r="E12" i="4" s="1"/>
  <c r="AD9" i="6"/>
  <c r="AE9" i="6" s="1"/>
  <c r="E9" i="6" s="1"/>
  <c r="U9" i="6"/>
  <c r="C9" i="6" s="1"/>
  <c r="Y9" i="6"/>
  <c r="Z9" i="6" s="1"/>
  <c r="D9" i="6" s="1"/>
  <c r="AD12" i="6"/>
  <c r="AE12" i="6" s="1"/>
  <c r="E12" i="6" s="1"/>
  <c r="Y12" i="6"/>
  <c r="Z12" i="6" s="1"/>
  <c r="D12" i="6" s="1"/>
  <c r="AD6" i="6"/>
  <c r="AE6" i="6" s="1"/>
  <c r="U12" i="6"/>
  <c r="C12" i="6" s="1"/>
  <c r="Y11" i="4"/>
  <c r="Z11" i="4" s="1"/>
  <c r="D11" i="4" s="1"/>
  <c r="Y6" i="4"/>
  <c r="Z6" i="4" s="1"/>
  <c r="AD11" i="4"/>
  <c r="AE11" i="4" s="1"/>
  <c r="E11" i="4" s="1"/>
  <c r="T13" i="4"/>
  <c r="U11" i="4"/>
  <c r="C11" i="4" s="1"/>
  <c r="Y12" i="5"/>
  <c r="Z12" i="5" s="1"/>
  <c r="D12" i="5" s="1"/>
  <c r="AD12" i="5"/>
  <c r="AE12" i="5" s="1"/>
  <c r="E12" i="5" s="1"/>
  <c r="U12" i="5"/>
  <c r="C12" i="5" s="1"/>
  <c r="AD6" i="5"/>
  <c r="AE6" i="5" s="1"/>
  <c r="AD9" i="5"/>
  <c r="AE9" i="5" s="1"/>
  <c r="E9" i="5" s="1"/>
  <c r="AD7" i="4"/>
  <c r="AE7" i="4" s="1"/>
  <c r="E7" i="4" s="1"/>
  <c r="U7" i="4"/>
  <c r="C7" i="4" s="1"/>
  <c r="T14" i="4"/>
  <c r="Y7" i="4"/>
  <c r="Z7" i="4" s="1"/>
  <c r="D7" i="4" s="1"/>
  <c r="T13" i="6"/>
  <c r="AD11" i="6"/>
  <c r="AE11" i="6" s="1"/>
  <c r="E11" i="6" s="1"/>
  <c r="Y6" i="6"/>
  <c r="Z6" i="6" s="1"/>
  <c r="U11" i="6"/>
  <c r="C11" i="6" s="1"/>
  <c r="Y11" i="6"/>
  <c r="Z11" i="6" s="1"/>
  <c r="D11" i="6" s="1"/>
  <c r="AD7" i="6"/>
  <c r="AE7" i="6" s="1"/>
  <c r="E7" i="6" s="1"/>
  <c r="T14" i="6"/>
  <c r="Y7" i="6"/>
  <c r="Z7" i="6" s="1"/>
  <c r="D7" i="6" s="1"/>
  <c r="U7" i="6"/>
  <c r="C7" i="6" s="1"/>
  <c r="AD9" i="4"/>
  <c r="AE9" i="4" s="1"/>
  <c r="E9" i="4" s="1"/>
  <c r="U9" i="4"/>
  <c r="C9" i="4" s="1"/>
  <c r="Y9" i="4"/>
  <c r="Z9" i="4" s="1"/>
  <c r="D9" i="4" s="1"/>
  <c r="AD8" i="5"/>
  <c r="AE8" i="5" s="1"/>
  <c r="E8" i="5" s="1"/>
  <c r="Y8" i="5"/>
  <c r="Z8" i="5" s="1"/>
  <c r="D8" i="5" s="1"/>
  <c r="U8" i="5"/>
  <c r="C8" i="5" s="1"/>
  <c r="U11" i="5"/>
  <c r="C11" i="5" s="1"/>
  <c r="Y6" i="5"/>
  <c r="Z6" i="5" s="1"/>
  <c r="Y11" i="5"/>
  <c r="Z11" i="5" s="1"/>
  <c r="D11" i="5" s="1"/>
  <c r="T13" i="5"/>
  <c r="AD11" i="5"/>
  <c r="AE11" i="5" s="1"/>
  <c r="E11" i="5" s="1"/>
  <c r="AD10" i="6"/>
  <c r="AE10" i="6" s="1"/>
  <c r="E10" i="6" s="1"/>
  <c r="U10" i="6"/>
  <c r="C10" i="6" s="1"/>
  <c r="Y10" i="6"/>
  <c r="Z10" i="6" s="1"/>
  <c r="D10" i="6" s="1"/>
  <c r="Y10" i="4"/>
  <c r="Z10" i="4" s="1"/>
  <c r="D10" i="4" s="1"/>
  <c r="AD10" i="4"/>
  <c r="AE10" i="4" s="1"/>
  <c r="E10" i="4" s="1"/>
  <c r="U10" i="4"/>
  <c r="C10" i="4" s="1"/>
  <c r="Y8" i="4"/>
  <c r="Z8" i="4" s="1"/>
  <c r="D8" i="4" s="1"/>
  <c r="AD8" i="4"/>
  <c r="AE8" i="4" s="1"/>
  <c r="E8" i="4" s="1"/>
  <c r="U8" i="4"/>
  <c r="C8" i="4" s="1"/>
</calcChain>
</file>

<file path=xl/sharedStrings.xml><?xml version="1.0" encoding="utf-8"?>
<sst xmlns="http://schemas.openxmlformats.org/spreadsheetml/2006/main" count="411" uniqueCount="107">
  <si>
    <t>spike-in 1</t>
  </si>
  <si>
    <t>spike-in 2</t>
  </si>
  <si>
    <t>true fold change</t>
  </si>
  <si>
    <t>observed fold change</t>
  </si>
  <si>
    <t>n/a</t>
  </si>
  <si>
    <t>Copy Numbers</t>
  </si>
  <si>
    <t>sample 1</t>
  </si>
  <si>
    <t>sample 2</t>
  </si>
  <si>
    <t>total</t>
  </si>
  <si>
    <t>mRNA total</t>
  </si>
  <si>
    <t>Gene ID</t>
  </si>
  <si>
    <t>Abundances and Library Before PolyA Selection (add spike-ins to library)</t>
  </si>
  <si>
    <t>poly-A+ Abundances and Library</t>
  </si>
  <si>
    <t>library 1</t>
  </si>
  <si>
    <t>abundances 2</t>
  </si>
  <si>
    <t>library 2</t>
  </si>
  <si>
    <t>abundances 1</t>
  </si>
  <si>
    <t>spike-in ratios #1</t>
  </si>
  <si>
    <t>sample1</t>
  </si>
  <si>
    <t>sample2</t>
  </si>
  <si>
    <t>Fold Changes</t>
  </si>
  <si>
    <t>relative f.c.</t>
  </si>
  <si>
    <t>spike-in 1 ratio f.c.</t>
  </si>
  <si>
    <t>spike-in 2 ratio f.c.</t>
  </si>
  <si>
    <t>Abundances and Library Before PolyA Selection</t>
  </si>
  <si>
    <t>poly-A+ Abundances</t>
  </si>
  <si>
    <t>After RNA isolation but before poly-A selection, an equal amount of RNA is taken from each sample, and spike-in 1 is added in equal amounts to this</t>
  </si>
  <si>
    <t>sample 1 abundances</t>
  </si>
  <si>
    <t>sample abundances</t>
  </si>
  <si>
    <t>In this experiment, rRNA decreases by 10%, and everything else is the same</t>
  </si>
  <si>
    <t>Because spike-in 1 was added to the arbitrary amount of RNA, it is itself affected by the compositional shift induced by the rRNA change.</t>
  </si>
  <si>
    <t>Spike-in 2 is affected by the same problem as spike-in 1. This leads to an upward shift in the observed fold changes for the mRNA genes.</t>
  </si>
  <si>
    <t>mRNA gene 1</t>
  </si>
  <si>
    <t>mRNA gene 2</t>
  </si>
  <si>
    <t>mRNA gene 3</t>
  </si>
  <si>
    <t>mRNA gene 4</t>
  </si>
  <si>
    <t>rRNA gene 1</t>
  </si>
  <si>
    <t>spike-in ratios #2</t>
  </si>
  <si>
    <t>After polyA selection and sequencing, the abundances and observed fold changes are shown. Note that the total spike-in abundances are close to those observed for samples 1 and 5. They also show the discordant behavior of the observed fold changes.</t>
  </si>
  <si>
    <t>spike-in total</t>
  </si>
  <si>
    <t>grand total</t>
  </si>
  <si>
    <t>After selection and sequencing, the abundances and observed fold changes are shown. Note that the total spike-in abundances are close to the average between the two zebrafish groups. Also, the mRNA fold changes are discordant with the true changes.</t>
  </si>
  <si>
    <t>In this experiment, all four mRNA genes decrease by varying amounts, resulting in a total decrease in the mRNA of ~50%. Spike-in 2 is added in equal amounts before isolation.</t>
  </si>
  <si>
    <t>Effects of converting the copy numbers to a composition lead to a discordance between the true fold changes and observed fold changes. Spike-ins can accurately capture the true fold changes, whether added before or after RNA isolation.</t>
  </si>
  <si>
    <t>Spike-in 1, having been added in equal amount to both samples before RNA isolatio, is able to capture the true fold changes of the mRNA genes</t>
  </si>
  <si>
    <t>Spike-in 2 behaves the same as spike-in 1 in this scenario, despite being added after RNA isolation. The main reason for this is the excluded RNAs did not change, meaning this spike-in can also anchor the data to an unchanging standard.</t>
  </si>
  <si>
    <t>After RNA isolation but before poly-A selection, an equal amount of RNA is taken from each sample, and the spike-ins are added in equal amounts to this, just as occurred with the zebrafish dataset.</t>
  </si>
  <si>
    <t>Because rRNA changed, it changes the composition when it is depleted. This leads to artefactual discordant behavior between the mRNA genes and the spike-ins</t>
  </si>
  <si>
    <t>After RNA isolation but before poly-A selection, an equal amount of RNA is taken from each sample, and spike-in 2 is added in equal amounts to this</t>
  </si>
  <si>
    <t>Because spike-in 1 was added in equal amounts before RNA isolation, it is able to faithfully capture the fold changes of the four mRNA genes</t>
  </si>
  <si>
    <t>Spike-in 1 is added in equal amounts to each sample before RNA isolation; it alone is able to capture the fold changes of the four mRNA genes.</t>
  </si>
  <si>
    <t>Because spike-in 2 was added to the arbitrary amount of RNA, it is itself affected by the compositional shift induced by the simultaneous rRNA and mRNA changes.</t>
  </si>
  <si>
    <t>In this experiment, both the rRNA and three of the mRNAs are changing by varying amounts. Spike-in 1 is added before RNA isolation in equal amounts per sample</t>
  </si>
  <si>
    <t>After polyA selection and sequencing, the abundances and observed abundances fold changes are shown. Note that the spike-in abundances change between conditions, and that the observed fold-changes for 2 genes are discordant with the true fold changes</t>
  </si>
  <si>
    <t>In this experiment, every gene (both rRNA and mRNA) doubles due to a transcriptional activation</t>
  </si>
  <si>
    <t>fold change 2vs1</t>
  </si>
  <si>
    <t>After RNA isolation, an arbitrary but equal amount of RNA is taken from each sample for selection and sequencing. Note that in this extreme example, the libraries look identical.</t>
  </si>
  <si>
    <t>observed f.c.</t>
  </si>
  <si>
    <t>This toy example illustrates that, if every gene doubled, the composition would look identical and would need a spike-in to capture the true fold changes</t>
  </si>
  <si>
    <t>After poly-A selection, the abundances are shown. Note that because the libraries were identical, the abundances after poly-A selection are also identical, resulting in no observed changes between conditions</t>
  </si>
  <si>
    <t>Supplementary Table S2. Total RNA Content Per Cell Per Condition for all Simulation Runs</t>
  </si>
  <si>
    <t>Run Number</t>
  </si>
  <si>
    <t>Study</t>
  </si>
  <si>
    <t>Control Copy Numbers Per Cell</t>
  </si>
  <si>
    <t>Experiment Copy Numbers Per Cell</t>
  </si>
  <si>
    <t>small</t>
  </si>
  <si>
    <t>down</t>
  </si>
  <si>
    <t>up</t>
  </si>
  <si>
    <t>run01</t>
  </si>
  <si>
    <t>run02</t>
  </si>
  <si>
    <t>run03</t>
  </si>
  <si>
    <t>run04</t>
  </si>
  <si>
    <t>run05</t>
  </si>
  <si>
    <t>run06</t>
  </si>
  <si>
    <t>run07</t>
  </si>
  <si>
    <t>run08</t>
  </si>
  <si>
    <t>run09</t>
  </si>
  <si>
    <t>run10</t>
  </si>
  <si>
    <t>run11</t>
  </si>
  <si>
    <t>run12</t>
  </si>
  <si>
    <t>run13</t>
  </si>
  <si>
    <t>run14</t>
  </si>
  <si>
    <t>run15</t>
  </si>
  <si>
    <t>Change in total RNA content per cell (%)</t>
  </si>
  <si>
    <t>Average Change in RNA Content</t>
  </si>
  <si>
    <t>Supplementary Table S1. Summary of Parameters for Simulation Studies</t>
  </si>
  <si>
    <t>Total transcripts</t>
  </si>
  <si>
    <t>Probability of DE (total)</t>
  </si>
  <si>
    <t>Probability of up-regulation</t>
  </si>
  <si>
    <t>Number of DE Transcripts</t>
  </si>
  <si>
    <t>Filtered Transcripts (TPM &gt; 1)</t>
  </si>
  <si>
    <t>Number of up-regulated transcripts</t>
  </si>
  <si>
    <t>Number of down-regulated transcripts</t>
  </si>
  <si>
    <t>Supplemental Table S6. Spike-ins must be added before RNA isolation to accurately capture true fold changes</t>
  </si>
  <si>
    <t xml:space="preserve">Supplemental Table S5. Spike-in abundances change discordantly when non-poly-adenylated RNA changes. </t>
  </si>
  <si>
    <t>Supplemental Table S3. Doubling the copy numbers per cell results in the same composition</t>
  </si>
  <si>
    <t>Supplemental Table S4. Spike-in abundances change with large compositional shifts but still accurately capture fold changes</t>
  </si>
  <si>
    <t>Number of filtered up-regulated transcripts</t>
  </si>
  <si>
    <t>Number of filtered down-regulated transcripts</t>
  </si>
  <si>
    <r>
      <rPr>
        <b/>
        <sz val="12"/>
        <color theme="1"/>
        <rFont val="Calibri"/>
        <family val="2"/>
        <scheme val="minor"/>
      </rPr>
      <t>Note 1:</t>
    </r>
    <r>
      <rPr>
        <sz val="12"/>
        <color theme="1"/>
        <rFont val="Calibri"/>
        <family val="2"/>
        <scheme val="minor"/>
      </rPr>
      <t xml:space="preserve"> Seed = 645175</t>
    </r>
  </si>
  <si>
    <r>
      <rPr>
        <b/>
        <sz val="12"/>
        <color theme="1"/>
        <rFont val="Calibri"/>
        <family val="2"/>
        <scheme val="minor"/>
      </rPr>
      <t xml:space="preserve">Note 2: </t>
    </r>
    <r>
      <rPr>
        <sz val="12"/>
        <color theme="1"/>
        <rFont val="Calibri"/>
        <family val="2"/>
        <scheme val="minor"/>
      </rPr>
      <t>The percent of DE transcipts is with respect to the total number of transcripts, but only filtered transcripts were selected to be DE.</t>
    </r>
  </si>
  <si>
    <t>Number of filtered transcripts evaluated</t>
  </si>
  <si>
    <t>Number of filtered DE transcripts</t>
  </si>
  <si>
    <t>Filtered Transcripts Evaluated by Tools</t>
  </si>
  <si>
    <t>Total Transcripts Simulated</t>
  </si>
  <si>
    <t>Probability of DE (filtered)</t>
  </si>
  <si>
    <r>
      <rPr>
        <b/>
        <sz val="12"/>
        <color theme="1"/>
        <rFont val="Calibri"/>
        <family val="2"/>
        <scheme val="minor"/>
      </rPr>
      <t>Note 3:</t>
    </r>
    <r>
      <rPr>
        <sz val="12"/>
        <color theme="1"/>
        <rFont val="Calibri"/>
        <family val="2"/>
        <scheme val="minor"/>
      </rPr>
      <t xml:space="preserve"> All tools used the same set of transcripts filtered using the standard sleuth count filter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</si>
</sst>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9" fontId="0" fillId="0" borderId="2" xfId="0" applyNumberFormat="1" applyBorder="1"/>
    <xf numFmtId="164" fontId="0" fillId="0" borderId="2" xfId="0" applyNumberFormat="1" applyBorder="1"/>
    <xf numFmtId="9" fontId="1" fillId="0" borderId="2" xfId="0" applyNumberFormat="1" applyFont="1" applyBorder="1"/>
    <xf numFmtId="164" fontId="1" fillId="0" borderId="2" xfId="0" applyNumberFormat="1" applyFont="1" applyBorder="1"/>
    <xf numFmtId="0" fontId="0" fillId="0" borderId="4" xfId="0" applyBorder="1"/>
    <xf numFmtId="9" fontId="0" fillId="0" borderId="4" xfId="0" applyNumberFormat="1" applyBorder="1"/>
    <xf numFmtId="164" fontId="0" fillId="0" borderId="4" xfId="0" applyNumberFormat="1" applyBorder="1"/>
    <xf numFmtId="0" fontId="0" fillId="0" borderId="3" xfId="0" applyBorder="1"/>
    <xf numFmtId="9" fontId="1" fillId="0" borderId="3" xfId="0" applyNumberFormat="1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0" fontId="0" fillId="0" borderId="2" xfId="0" applyBorder="1" applyAlignment="1">
      <alignment horizontal="center" vertical="center"/>
    </xf>
    <xf numFmtId="0" fontId="1" fillId="0" borderId="3" xfId="0" applyFont="1" applyBorder="1"/>
    <xf numFmtId="9" fontId="0" fillId="0" borderId="3" xfId="0" applyNumberFormat="1" applyBorder="1"/>
    <xf numFmtId="0" fontId="0" fillId="0" borderId="2" xfId="0" applyBorder="1" applyAlignment="1">
      <alignment horizontal="center"/>
    </xf>
    <xf numFmtId="10" fontId="0" fillId="0" borderId="2" xfId="0" applyNumberFormat="1" applyBorder="1"/>
    <xf numFmtId="10" fontId="0" fillId="0" borderId="4" xfId="0" applyNumberFormat="1" applyBorder="1"/>
    <xf numFmtId="10" fontId="0" fillId="0" borderId="3" xfId="0" applyNumberFormat="1" applyBorder="1"/>
    <xf numFmtId="0" fontId="1" fillId="0" borderId="4" xfId="0" applyFon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3" xfId="0" applyNumberFormat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0" xfId="0" applyBorder="1" applyAlignment="1">
      <alignment vertical="center" wrapText="1"/>
    </xf>
    <xf numFmtId="0" fontId="0" fillId="0" borderId="12" xfId="0" applyBorder="1"/>
    <xf numFmtId="164" fontId="1" fillId="0" borderId="4" xfId="0" applyNumberFormat="1" applyFont="1" applyBorder="1"/>
    <xf numFmtId="164" fontId="0" fillId="0" borderId="2" xfId="0" applyNumberFormat="1" applyFont="1" applyBorder="1"/>
    <xf numFmtId="164" fontId="0" fillId="0" borderId="3" xfId="0" applyNumberFormat="1" applyFont="1" applyBorder="1"/>
    <xf numFmtId="9" fontId="0" fillId="0" borderId="2" xfId="0" applyNumberFormat="1" applyFont="1" applyBorder="1"/>
    <xf numFmtId="9" fontId="0" fillId="0" borderId="3" xfId="0" applyNumberFormat="1" applyFont="1" applyBorder="1"/>
    <xf numFmtId="9" fontId="0" fillId="0" borderId="4" xfId="0" applyNumberFormat="1" applyFont="1" applyBorder="1"/>
    <xf numFmtId="0" fontId="0" fillId="0" borderId="0" xfId="0" applyBorder="1" applyAlignment="1">
      <alignment wrapText="1"/>
    </xf>
    <xf numFmtId="0" fontId="1" fillId="0" borderId="12" xfId="0" applyFont="1" applyBorder="1"/>
    <xf numFmtId="10" fontId="0" fillId="0" borderId="12" xfId="0" applyNumberFormat="1" applyBorder="1"/>
    <xf numFmtId="164" fontId="0" fillId="0" borderId="2" xfId="0" applyNumberFormat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/>
    <xf numFmtId="11" fontId="0" fillId="0" borderId="2" xfId="0" applyNumberFormat="1" applyBorder="1"/>
    <xf numFmtId="0" fontId="2" fillId="0" borderId="2" xfId="0" applyFont="1" applyBorder="1" applyAlignment="1">
      <alignment horizontal="center" vertical="center" wrapText="1"/>
    </xf>
    <xf numFmtId="11" fontId="0" fillId="0" borderId="4" xfId="0" applyNumberFormat="1" applyBorder="1"/>
    <xf numFmtId="11" fontId="0" fillId="0" borderId="3" xfId="0" applyNumberFormat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9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57BC-815F-C04B-87EB-3E97AC58B1ED}">
  <dimension ref="A1:P23"/>
  <sheetViews>
    <sheetView zoomScaleNormal="100" workbookViewId="0">
      <selection activeCell="A21" sqref="A21"/>
    </sheetView>
  </sheetViews>
  <sheetFormatPr baseColWidth="10" defaultRowHeight="16" x14ac:dyDescent="0.2"/>
  <cols>
    <col min="1" max="1" width="7.83203125" bestFit="1" customWidth="1"/>
    <col min="2" max="2" width="5.83203125" bestFit="1" customWidth="1"/>
    <col min="3" max="3" width="9.83203125" bestFit="1" customWidth="1"/>
    <col min="4" max="4" width="9.83203125" customWidth="1"/>
    <col min="5" max="6" width="12.1640625" bestFit="1" customWidth="1"/>
    <col min="7" max="7" width="12.83203125" bestFit="1" customWidth="1"/>
    <col min="8" max="8" width="13.1640625" bestFit="1" customWidth="1"/>
    <col min="9" max="9" width="15" bestFit="1" customWidth="1"/>
    <col min="10" max="10" width="3.33203125" style="65" customWidth="1"/>
    <col min="11" max="11" width="16.6640625" customWidth="1"/>
    <col min="12" max="12" width="16.6640625" bestFit="1" customWidth="1"/>
    <col min="13" max="13" width="16.6640625" customWidth="1"/>
    <col min="14" max="15" width="16.6640625" bestFit="1" customWidth="1"/>
  </cols>
  <sheetData>
    <row r="1" spans="1:16" x14ac:dyDescent="0.2">
      <c r="A1" s="44" t="s">
        <v>85</v>
      </c>
    </row>
    <row r="2" spans="1:16" x14ac:dyDescent="0.2">
      <c r="A2" s="44"/>
    </row>
    <row r="3" spans="1:16" x14ac:dyDescent="0.2">
      <c r="C3" s="61" t="s">
        <v>104</v>
      </c>
      <c r="D3" s="61"/>
      <c r="E3" s="61"/>
      <c r="F3" s="61"/>
      <c r="G3" s="61"/>
      <c r="H3" s="61"/>
      <c r="I3" s="61"/>
      <c r="J3" s="66"/>
      <c r="K3" s="61" t="s">
        <v>103</v>
      </c>
      <c r="L3" s="61"/>
      <c r="M3" s="61"/>
      <c r="N3" s="61"/>
      <c r="O3" s="61"/>
    </row>
    <row r="4" spans="1:16" ht="68" x14ac:dyDescent="0.2">
      <c r="A4" s="46" t="s">
        <v>61</v>
      </c>
      <c r="B4" s="46" t="s">
        <v>62</v>
      </c>
      <c r="C4" s="46" t="s">
        <v>86</v>
      </c>
      <c r="D4" s="46" t="s">
        <v>90</v>
      </c>
      <c r="E4" s="46" t="s">
        <v>87</v>
      </c>
      <c r="F4" s="46" t="s">
        <v>88</v>
      </c>
      <c r="G4" s="46" t="s">
        <v>89</v>
      </c>
      <c r="H4" s="46" t="s">
        <v>91</v>
      </c>
      <c r="I4" s="46" t="s">
        <v>92</v>
      </c>
      <c r="J4" s="67"/>
      <c r="K4" s="46" t="s">
        <v>101</v>
      </c>
      <c r="L4" s="46" t="s">
        <v>102</v>
      </c>
      <c r="M4" s="46" t="s">
        <v>105</v>
      </c>
      <c r="N4" s="46" t="s">
        <v>97</v>
      </c>
      <c r="O4" s="46" t="s">
        <v>98</v>
      </c>
    </row>
    <row r="5" spans="1:16" x14ac:dyDescent="0.2">
      <c r="A5" s="6" t="s">
        <v>68</v>
      </c>
      <c r="B5" s="6" t="s">
        <v>65</v>
      </c>
      <c r="C5" s="6">
        <v>198093</v>
      </c>
      <c r="D5" s="6">
        <v>40097</v>
      </c>
      <c r="E5" s="7">
        <v>0.05</v>
      </c>
      <c r="F5" s="7">
        <v>0.3</v>
      </c>
      <c r="G5" s="6">
        <v>9854</v>
      </c>
      <c r="H5" s="6">
        <v>2899</v>
      </c>
      <c r="I5" s="6">
        <f>G5-H5</f>
        <v>6955</v>
      </c>
      <c r="K5" s="6">
        <v>62513</v>
      </c>
      <c r="L5" s="6">
        <v>9003</v>
      </c>
      <c r="M5" s="8">
        <f>L5/K5</f>
        <v>0.14401804424679668</v>
      </c>
      <c r="N5" s="6">
        <v>2771</v>
      </c>
      <c r="O5" s="6">
        <v>6232</v>
      </c>
      <c r="P5" s="64"/>
    </row>
    <row r="6" spans="1:16" x14ac:dyDescent="0.2">
      <c r="A6" s="6" t="s">
        <v>69</v>
      </c>
      <c r="B6" s="6" t="s">
        <v>65</v>
      </c>
      <c r="C6" s="6">
        <v>198093</v>
      </c>
      <c r="D6" s="6">
        <v>40097</v>
      </c>
      <c r="E6" s="7">
        <v>0.05</v>
      </c>
      <c r="F6" s="7">
        <v>0.3</v>
      </c>
      <c r="G6" s="6">
        <v>9717</v>
      </c>
      <c r="H6" s="6">
        <v>2913</v>
      </c>
      <c r="I6" s="6">
        <f t="shared" ref="I6:I19" si="0">G6-H6</f>
        <v>6804</v>
      </c>
      <c r="K6" s="6">
        <v>62586</v>
      </c>
      <c r="L6" s="6">
        <v>8919</v>
      </c>
      <c r="M6" s="8">
        <f t="shared" ref="M6:M19" si="1">L6/K6</f>
        <v>0.14250790911705494</v>
      </c>
      <c r="N6" s="6">
        <v>2791</v>
      </c>
      <c r="O6" s="6">
        <v>6128</v>
      </c>
      <c r="P6" s="64"/>
    </row>
    <row r="7" spans="1:16" x14ac:dyDescent="0.2">
      <c r="A7" s="6" t="s">
        <v>70</v>
      </c>
      <c r="B7" s="6" t="s">
        <v>65</v>
      </c>
      <c r="C7" s="6">
        <v>198093</v>
      </c>
      <c r="D7" s="6">
        <v>40097</v>
      </c>
      <c r="E7" s="7">
        <v>0.05</v>
      </c>
      <c r="F7" s="7">
        <v>0.3</v>
      </c>
      <c r="G7" s="6">
        <v>9867</v>
      </c>
      <c r="H7" s="6">
        <v>2950</v>
      </c>
      <c r="I7" s="6">
        <f t="shared" si="0"/>
        <v>6917</v>
      </c>
      <c r="K7" s="6">
        <v>62362</v>
      </c>
      <c r="L7" s="6">
        <v>9079</v>
      </c>
      <c r="M7" s="8">
        <f t="shared" si="1"/>
        <v>0.14558545267951636</v>
      </c>
      <c r="N7" s="6">
        <v>2826</v>
      </c>
      <c r="O7" s="6">
        <v>6253</v>
      </c>
      <c r="P7" s="64"/>
    </row>
    <row r="8" spans="1:16" x14ac:dyDescent="0.2">
      <c r="A8" s="6" t="s">
        <v>71</v>
      </c>
      <c r="B8" s="6" t="s">
        <v>65</v>
      </c>
      <c r="C8" s="6">
        <v>198093</v>
      </c>
      <c r="D8" s="6">
        <v>40097</v>
      </c>
      <c r="E8" s="7">
        <v>0.05</v>
      </c>
      <c r="F8" s="7">
        <v>0.3</v>
      </c>
      <c r="G8" s="6">
        <v>9748</v>
      </c>
      <c r="H8" s="6">
        <v>2911</v>
      </c>
      <c r="I8" s="6">
        <f t="shared" si="0"/>
        <v>6837</v>
      </c>
      <c r="K8" s="6">
        <v>62834</v>
      </c>
      <c r="L8" s="6">
        <v>8947</v>
      </c>
      <c r="M8" s="8">
        <f t="shared" si="1"/>
        <v>0.14239106216379668</v>
      </c>
      <c r="N8" s="6">
        <v>2776</v>
      </c>
      <c r="O8" s="6">
        <v>6171</v>
      </c>
      <c r="P8" s="64"/>
    </row>
    <row r="9" spans="1:16" ht="17" thickBot="1" x14ac:dyDescent="0.25">
      <c r="A9" s="14" t="s">
        <v>72</v>
      </c>
      <c r="B9" s="14" t="s">
        <v>65</v>
      </c>
      <c r="C9" s="14">
        <v>198093</v>
      </c>
      <c r="D9" s="14">
        <v>40097</v>
      </c>
      <c r="E9" s="20">
        <v>0.05</v>
      </c>
      <c r="F9" s="20">
        <v>0.3</v>
      </c>
      <c r="G9" s="14">
        <v>9839</v>
      </c>
      <c r="H9" s="14">
        <v>2901</v>
      </c>
      <c r="I9" s="14">
        <f t="shared" si="0"/>
        <v>6938</v>
      </c>
      <c r="K9" s="14">
        <v>62628</v>
      </c>
      <c r="L9" s="14">
        <v>9097</v>
      </c>
      <c r="M9" s="16">
        <f t="shared" si="1"/>
        <v>0.14525451874560899</v>
      </c>
      <c r="N9" s="14">
        <v>2804</v>
      </c>
      <c r="O9" s="14">
        <v>6293</v>
      </c>
      <c r="P9" s="64"/>
    </row>
    <row r="10" spans="1:16" ht="17" thickTop="1" x14ac:dyDescent="0.2">
      <c r="A10" s="11" t="s">
        <v>73</v>
      </c>
      <c r="B10" s="11" t="s">
        <v>66</v>
      </c>
      <c r="C10" s="11">
        <v>198093</v>
      </c>
      <c r="D10" s="11">
        <v>40097</v>
      </c>
      <c r="E10" s="12">
        <v>0.2</v>
      </c>
      <c r="F10" s="12">
        <v>0.1</v>
      </c>
      <c r="G10" s="11">
        <v>39625</v>
      </c>
      <c r="H10" s="11">
        <v>3971</v>
      </c>
      <c r="I10" s="11">
        <f t="shared" si="0"/>
        <v>35654</v>
      </c>
      <c r="K10" s="11">
        <v>66116</v>
      </c>
      <c r="L10" s="11">
        <v>36642</v>
      </c>
      <c r="M10" s="13">
        <f t="shared" si="1"/>
        <v>0.55420775606509776</v>
      </c>
      <c r="N10" s="11">
        <v>3824</v>
      </c>
      <c r="O10" s="11">
        <v>32818</v>
      </c>
      <c r="P10" s="64"/>
    </row>
    <row r="11" spans="1:16" x14ac:dyDescent="0.2">
      <c r="A11" s="6" t="s">
        <v>74</v>
      </c>
      <c r="B11" s="6" t="s">
        <v>66</v>
      </c>
      <c r="C11" s="6">
        <v>198093</v>
      </c>
      <c r="D11" s="6">
        <v>40097</v>
      </c>
      <c r="E11" s="7">
        <v>0.2</v>
      </c>
      <c r="F11" s="7">
        <v>0.1</v>
      </c>
      <c r="G11" s="6">
        <v>39642</v>
      </c>
      <c r="H11" s="6">
        <v>3992</v>
      </c>
      <c r="I11" s="6">
        <f t="shared" si="0"/>
        <v>35650</v>
      </c>
      <c r="K11" s="6">
        <v>66261</v>
      </c>
      <c r="L11" s="6">
        <v>36663</v>
      </c>
      <c r="M11" s="8">
        <f t="shared" si="1"/>
        <v>0.55331190292932497</v>
      </c>
      <c r="N11" s="6">
        <v>3867</v>
      </c>
      <c r="O11" s="6">
        <v>32796</v>
      </c>
      <c r="P11" s="64"/>
    </row>
    <row r="12" spans="1:16" x14ac:dyDescent="0.2">
      <c r="A12" s="6" t="s">
        <v>75</v>
      </c>
      <c r="B12" s="6" t="s">
        <v>66</v>
      </c>
      <c r="C12" s="6">
        <v>198093</v>
      </c>
      <c r="D12" s="6">
        <v>40097</v>
      </c>
      <c r="E12" s="7">
        <v>0.2</v>
      </c>
      <c r="F12" s="7">
        <v>0.1</v>
      </c>
      <c r="G12" s="6">
        <v>39617</v>
      </c>
      <c r="H12" s="6">
        <v>4008</v>
      </c>
      <c r="I12" s="6">
        <f t="shared" si="0"/>
        <v>35609</v>
      </c>
      <c r="K12" s="6">
        <v>64986</v>
      </c>
      <c r="L12" s="6">
        <v>36503</v>
      </c>
      <c r="M12" s="8">
        <f t="shared" si="1"/>
        <v>0.5617055981288277</v>
      </c>
      <c r="N12" s="6">
        <v>3852</v>
      </c>
      <c r="O12" s="6">
        <v>32651</v>
      </c>
      <c r="P12" s="64"/>
    </row>
    <row r="13" spans="1:16" x14ac:dyDescent="0.2">
      <c r="A13" s="6" t="s">
        <v>76</v>
      </c>
      <c r="B13" s="6" t="s">
        <v>66</v>
      </c>
      <c r="C13" s="6">
        <v>198093</v>
      </c>
      <c r="D13" s="6">
        <v>40097</v>
      </c>
      <c r="E13" s="7">
        <v>0.2</v>
      </c>
      <c r="F13" s="7">
        <v>0.1</v>
      </c>
      <c r="G13" s="6">
        <v>39575</v>
      </c>
      <c r="H13" s="6">
        <v>4038</v>
      </c>
      <c r="I13" s="6">
        <f t="shared" si="0"/>
        <v>35537</v>
      </c>
      <c r="K13" s="6">
        <v>66021</v>
      </c>
      <c r="L13" s="6">
        <v>36608</v>
      </c>
      <c r="M13" s="8">
        <f t="shared" si="1"/>
        <v>0.55449023795459018</v>
      </c>
      <c r="N13" s="6">
        <v>3898</v>
      </c>
      <c r="O13" s="6">
        <v>32710</v>
      </c>
      <c r="P13" s="64"/>
    </row>
    <row r="14" spans="1:16" ht="17" thickBot="1" x14ac:dyDescent="0.25">
      <c r="A14" s="14" t="s">
        <v>77</v>
      </c>
      <c r="B14" s="14" t="s">
        <v>66</v>
      </c>
      <c r="C14" s="14">
        <v>198093</v>
      </c>
      <c r="D14" s="14">
        <v>40097</v>
      </c>
      <c r="E14" s="20">
        <v>0.2</v>
      </c>
      <c r="F14" s="20">
        <v>0.1</v>
      </c>
      <c r="G14" s="14">
        <v>39644</v>
      </c>
      <c r="H14" s="14">
        <v>4030</v>
      </c>
      <c r="I14" s="14">
        <f t="shared" si="0"/>
        <v>35614</v>
      </c>
      <c r="K14" s="14">
        <v>65460</v>
      </c>
      <c r="L14" s="14">
        <v>36502</v>
      </c>
      <c r="M14" s="16">
        <f t="shared" si="1"/>
        <v>0.55762297586312248</v>
      </c>
      <c r="N14" s="14">
        <v>3904</v>
      </c>
      <c r="O14" s="14">
        <v>32598</v>
      </c>
      <c r="P14" s="64"/>
    </row>
    <row r="15" spans="1:16" ht="17" thickTop="1" x14ac:dyDescent="0.2">
      <c r="A15" s="11" t="s">
        <v>78</v>
      </c>
      <c r="B15" s="11" t="s">
        <v>67</v>
      </c>
      <c r="C15" s="11">
        <v>198093</v>
      </c>
      <c r="D15" s="11">
        <v>40097</v>
      </c>
      <c r="E15" s="12">
        <v>0.2</v>
      </c>
      <c r="F15" s="12">
        <v>0.9</v>
      </c>
      <c r="G15" s="11">
        <v>39660</v>
      </c>
      <c r="H15" s="6">
        <v>35669</v>
      </c>
      <c r="I15" s="11">
        <f t="shared" si="0"/>
        <v>3991</v>
      </c>
      <c r="K15" s="11">
        <v>55239</v>
      </c>
      <c r="L15" s="11">
        <v>36984</v>
      </c>
      <c r="M15" s="13">
        <f t="shared" si="1"/>
        <v>0.66952696464454464</v>
      </c>
      <c r="N15" s="11">
        <v>33568</v>
      </c>
      <c r="O15" s="11">
        <v>3416</v>
      </c>
      <c r="P15" s="64"/>
    </row>
    <row r="16" spans="1:16" x14ac:dyDescent="0.2">
      <c r="A16" s="6" t="s">
        <v>79</v>
      </c>
      <c r="B16" s="6" t="s">
        <v>67</v>
      </c>
      <c r="C16" s="6">
        <v>198093</v>
      </c>
      <c r="D16" s="6">
        <v>40097</v>
      </c>
      <c r="E16" s="7">
        <v>0.2</v>
      </c>
      <c r="F16" s="7">
        <v>0.9</v>
      </c>
      <c r="G16" s="6">
        <v>39691</v>
      </c>
      <c r="H16" s="6">
        <v>35677</v>
      </c>
      <c r="I16" s="6">
        <f t="shared" si="0"/>
        <v>4014</v>
      </c>
      <c r="K16" s="6">
        <v>55190</v>
      </c>
      <c r="L16" s="6">
        <v>37033</v>
      </c>
      <c r="M16" s="8">
        <f t="shared" si="1"/>
        <v>0.67100924080449353</v>
      </c>
      <c r="N16" s="6">
        <v>33582</v>
      </c>
      <c r="O16" s="6">
        <v>3451</v>
      </c>
      <c r="P16" s="64"/>
    </row>
    <row r="17" spans="1:16" x14ac:dyDescent="0.2">
      <c r="A17" s="6" t="s">
        <v>80</v>
      </c>
      <c r="B17" s="6" t="s">
        <v>67</v>
      </c>
      <c r="C17" s="6">
        <v>198093</v>
      </c>
      <c r="D17" s="6">
        <v>40097</v>
      </c>
      <c r="E17" s="7">
        <v>0.2</v>
      </c>
      <c r="F17" s="7">
        <v>0.9</v>
      </c>
      <c r="G17" s="6">
        <v>39603</v>
      </c>
      <c r="H17" s="6">
        <v>35565</v>
      </c>
      <c r="I17" s="6">
        <f t="shared" si="0"/>
        <v>4038</v>
      </c>
      <c r="K17" s="6">
        <v>55092</v>
      </c>
      <c r="L17" s="6">
        <v>36867</v>
      </c>
      <c r="M17" s="8">
        <f t="shared" si="1"/>
        <v>0.66918971901546509</v>
      </c>
      <c r="N17" s="6">
        <v>33431</v>
      </c>
      <c r="O17" s="6">
        <v>3436</v>
      </c>
      <c r="P17" s="64"/>
    </row>
    <row r="18" spans="1:16" x14ac:dyDescent="0.2">
      <c r="A18" s="6" t="s">
        <v>81</v>
      </c>
      <c r="B18" s="6" t="s">
        <v>67</v>
      </c>
      <c r="C18" s="6">
        <v>198093</v>
      </c>
      <c r="D18" s="6">
        <v>40097</v>
      </c>
      <c r="E18" s="7">
        <v>0.2</v>
      </c>
      <c r="F18" s="7">
        <v>0.9</v>
      </c>
      <c r="G18" s="6">
        <v>39635</v>
      </c>
      <c r="H18" s="6">
        <v>35583</v>
      </c>
      <c r="I18" s="6">
        <f t="shared" si="0"/>
        <v>4052</v>
      </c>
      <c r="K18" s="6">
        <v>55109</v>
      </c>
      <c r="L18" s="6">
        <v>36902</v>
      </c>
      <c r="M18" s="8">
        <f t="shared" si="1"/>
        <v>0.66961839264004064</v>
      </c>
      <c r="N18" s="6">
        <v>33436</v>
      </c>
      <c r="O18" s="6">
        <v>3466</v>
      </c>
      <c r="P18" s="64"/>
    </row>
    <row r="19" spans="1:16" x14ac:dyDescent="0.2">
      <c r="A19" s="6" t="s">
        <v>82</v>
      </c>
      <c r="B19" s="6" t="s">
        <v>67</v>
      </c>
      <c r="C19" s="6">
        <v>198093</v>
      </c>
      <c r="D19" s="6">
        <v>40097</v>
      </c>
      <c r="E19" s="7">
        <v>0.2</v>
      </c>
      <c r="F19" s="7">
        <v>0.9</v>
      </c>
      <c r="G19" s="6">
        <v>39619</v>
      </c>
      <c r="H19" s="6">
        <v>35625</v>
      </c>
      <c r="I19" s="6">
        <f t="shared" si="0"/>
        <v>3994</v>
      </c>
      <c r="K19" s="6">
        <v>55177</v>
      </c>
      <c r="L19" s="6">
        <v>36941</v>
      </c>
      <c r="M19" s="8">
        <f t="shared" si="1"/>
        <v>0.66949997281475981</v>
      </c>
      <c r="N19" s="6">
        <v>33499</v>
      </c>
      <c r="O19" s="6">
        <v>3442</v>
      </c>
      <c r="P19" s="64"/>
    </row>
    <row r="21" spans="1:16" x14ac:dyDescent="0.2">
      <c r="A21" t="s">
        <v>99</v>
      </c>
    </row>
    <row r="22" spans="1:16" x14ac:dyDescent="0.2">
      <c r="A22" t="s">
        <v>100</v>
      </c>
    </row>
    <row r="23" spans="1:16" x14ac:dyDescent="0.2">
      <c r="A23" t="s">
        <v>106</v>
      </c>
    </row>
  </sheetData>
  <mergeCells count="2">
    <mergeCell ref="K3:O3"/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CA06-E27F-F547-AE9F-C83FFBECB62D}">
  <dimension ref="A1:H18"/>
  <sheetViews>
    <sheetView tabSelected="1" workbookViewId="0">
      <selection activeCell="A3" sqref="A3"/>
    </sheetView>
  </sheetViews>
  <sheetFormatPr baseColWidth="10" defaultRowHeight="16" x14ac:dyDescent="0.2"/>
  <cols>
    <col min="1" max="1" width="7.83203125" customWidth="1"/>
    <col min="2" max="2" width="5.83203125" bestFit="1" customWidth="1"/>
    <col min="3" max="4" width="15.33203125" bestFit="1" customWidth="1"/>
    <col min="5" max="5" width="17.83203125" bestFit="1" customWidth="1"/>
    <col min="8" max="8" width="14.5" customWidth="1"/>
  </cols>
  <sheetData>
    <row r="1" spans="1:8" x14ac:dyDescent="0.2">
      <c r="A1" s="44" t="s">
        <v>60</v>
      </c>
    </row>
    <row r="3" spans="1:8" ht="32" x14ac:dyDescent="0.2">
      <c r="A3" s="46" t="s">
        <v>61</v>
      </c>
      <c r="B3" s="46" t="s">
        <v>62</v>
      </c>
      <c r="C3" s="46" t="s">
        <v>63</v>
      </c>
      <c r="D3" s="46" t="s">
        <v>64</v>
      </c>
      <c r="E3" s="46" t="s">
        <v>83</v>
      </c>
      <c r="G3" s="49" t="s">
        <v>62</v>
      </c>
      <c r="H3" s="49" t="s">
        <v>84</v>
      </c>
    </row>
    <row r="4" spans="1:8" x14ac:dyDescent="0.2">
      <c r="A4" s="6" t="s">
        <v>68</v>
      </c>
      <c r="B4" s="6" t="s">
        <v>65</v>
      </c>
      <c r="C4" s="45">
        <v>1000000</v>
      </c>
      <c r="D4" s="45">
        <v>1008746</v>
      </c>
      <c r="E4" s="22">
        <f>D4/C4-1</f>
        <v>8.7459999999999205E-3</v>
      </c>
      <c r="G4" s="6" t="s">
        <v>65</v>
      </c>
      <c r="H4" s="22">
        <f>AVERAGE(E4:E8)</f>
        <v>9.5506799999999677E-3</v>
      </c>
    </row>
    <row r="5" spans="1:8" x14ac:dyDescent="0.2">
      <c r="A5" s="6" t="s">
        <v>69</v>
      </c>
      <c r="B5" s="6" t="s">
        <v>65</v>
      </c>
      <c r="C5" s="45">
        <v>1000000</v>
      </c>
      <c r="D5" s="45">
        <v>999934.4</v>
      </c>
      <c r="E5" s="22">
        <f t="shared" ref="E5:E18" si="0">D5/C5-1</f>
        <v>-6.5599999999998992E-5</v>
      </c>
      <c r="G5" s="6" t="s">
        <v>66</v>
      </c>
      <c r="H5" s="22">
        <f>AVERAGE(E9:E13)</f>
        <v>-0.32824032000000003</v>
      </c>
    </row>
    <row r="6" spans="1:8" x14ac:dyDescent="0.2">
      <c r="A6" s="6" t="s">
        <v>70</v>
      </c>
      <c r="B6" s="6" t="s">
        <v>65</v>
      </c>
      <c r="C6" s="45">
        <v>1000000</v>
      </c>
      <c r="D6" s="45">
        <v>1008247</v>
      </c>
      <c r="E6" s="22">
        <f t="shared" si="0"/>
        <v>8.2469999999998933E-3</v>
      </c>
      <c r="G6" s="6" t="s">
        <v>67</v>
      </c>
      <c r="H6" s="22">
        <f>AVERAGE(E14:E18)</f>
        <v>1.8079008000000001</v>
      </c>
    </row>
    <row r="7" spans="1:8" x14ac:dyDescent="0.2">
      <c r="A7" s="6" t="s">
        <v>71</v>
      </c>
      <c r="B7" s="6" t="s">
        <v>65</v>
      </c>
      <c r="C7" s="45">
        <v>1000000</v>
      </c>
      <c r="D7" s="45">
        <v>1014980</v>
      </c>
      <c r="E7" s="22">
        <f t="shared" si="0"/>
        <v>1.4979999999999993E-2</v>
      </c>
    </row>
    <row r="8" spans="1:8" ht="17" thickBot="1" x14ac:dyDescent="0.25">
      <c r="A8" s="14" t="s">
        <v>72</v>
      </c>
      <c r="B8" s="14" t="s">
        <v>65</v>
      </c>
      <c r="C8" s="48">
        <v>1000000</v>
      </c>
      <c r="D8" s="48">
        <v>1015846</v>
      </c>
      <c r="E8" s="24">
        <f t="shared" si="0"/>
        <v>1.5846000000000027E-2</v>
      </c>
    </row>
    <row r="9" spans="1:8" ht="17" thickTop="1" x14ac:dyDescent="0.2">
      <c r="A9" s="11" t="s">
        <v>73</v>
      </c>
      <c r="B9" s="11" t="s">
        <v>66</v>
      </c>
      <c r="C9" s="47">
        <v>1000000</v>
      </c>
      <c r="D9" s="47">
        <v>698369.8</v>
      </c>
      <c r="E9" s="23">
        <f t="shared" si="0"/>
        <v>-0.30163019999999996</v>
      </c>
    </row>
    <row r="10" spans="1:8" x14ac:dyDescent="0.2">
      <c r="A10" s="6" t="s">
        <v>74</v>
      </c>
      <c r="B10" s="6" t="s">
        <v>66</v>
      </c>
      <c r="C10" s="45">
        <v>1000000</v>
      </c>
      <c r="D10" s="45">
        <v>665711.5</v>
      </c>
      <c r="E10" s="22">
        <f t="shared" si="0"/>
        <v>-0.33428849999999999</v>
      </c>
    </row>
    <row r="11" spans="1:8" x14ac:dyDescent="0.2">
      <c r="A11" s="6" t="s">
        <v>75</v>
      </c>
      <c r="B11" s="6" t="s">
        <v>66</v>
      </c>
      <c r="C11" s="45">
        <v>1000000</v>
      </c>
      <c r="D11" s="45">
        <v>721780.5</v>
      </c>
      <c r="E11" s="22">
        <f t="shared" si="0"/>
        <v>-0.27821949999999995</v>
      </c>
    </row>
    <row r="12" spans="1:8" x14ac:dyDescent="0.2">
      <c r="A12" s="6" t="s">
        <v>76</v>
      </c>
      <c r="B12" s="6" t="s">
        <v>66</v>
      </c>
      <c r="C12" s="45">
        <v>1000000</v>
      </c>
      <c r="D12" s="45">
        <v>642657.1</v>
      </c>
      <c r="E12" s="22">
        <f t="shared" si="0"/>
        <v>-0.35734290000000002</v>
      </c>
    </row>
    <row r="13" spans="1:8" ht="17" thickBot="1" x14ac:dyDescent="0.25">
      <c r="A13" s="14" t="s">
        <v>77</v>
      </c>
      <c r="B13" s="14" t="s">
        <v>66</v>
      </c>
      <c r="C13" s="48">
        <v>1000000</v>
      </c>
      <c r="D13" s="48">
        <v>630279.5</v>
      </c>
      <c r="E13" s="24">
        <f t="shared" si="0"/>
        <v>-0.36972050000000001</v>
      </c>
    </row>
    <row r="14" spans="1:8" ht="17" thickTop="1" x14ac:dyDescent="0.2">
      <c r="A14" s="11" t="s">
        <v>78</v>
      </c>
      <c r="B14" s="11" t="s">
        <v>67</v>
      </c>
      <c r="C14" s="47">
        <v>1000000</v>
      </c>
      <c r="D14" s="47">
        <v>2780302</v>
      </c>
      <c r="E14" s="23">
        <f t="shared" si="0"/>
        <v>1.7803019999999998</v>
      </c>
    </row>
    <row r="15" spans="1:8" x14ac:dyDescent="0.2">
      <c r="A15" s="6" t="s">
        <v>79</v>
      </c>
      <c r="B15" s="6" t="s">
        <v>67</v>
      </c>
      <c r="C15" s="45">
        <v>1000000</v>
      </c>
      <c r="D15" s="45">
        <v>2759973</v>
      </c>
      <c r="E15" s="22">
        <f t="shared" si="0"/>
        <v>1.759973</v>
      </c>
    </row>
    <row r="16" spans="1:8" x14ac:dyDescent="0.2">
      <c r="A16" s="6" t="s">
        <v>80</v>
      </c>
      <c r="B16" s="6" t="s">
        <v>67</v>
      </c>
      <c r="C16" s="45">
        <v>1000000</v>
      </c>
      <c r="D16" s="45">
        <v>2858972</v>
      </c>
      <c r="E16" s="22">
        <f t="shared" si="0"/>
        <v>1.8589720000000001</v>
      </c>
    </row>
    <row r="17" spans="1:5" x14ac:dyDescent="0.2">
      <c r="A17" s="6" t="s">
        <v>81</v>
      </c>
      <c r="B17" s="6" t="s">
        <v>67</v>
      </c>
      <c r="C17" s="45">
        <v>1000000</v>
      </c>
      <c r="D17" s="45">
        <v>2831715</v>
      </c>
      <c r="E17" s="22">
        <f t="shared" si="0"/>
        <v>1.831715</v>
      </c>
    </row>
    <row r="18" spans="1:5" x14ac:dyDescent="0.2">
      <c r="A18" s="6" t="s">
        <v>82</v>
      </c>
      <c r="B18" s="6" t="s">
        <v>67</v>
      </c>
      <c r="C18" s="45">
        <v>1000000</v>
      </c>
      <c r="D18" s="45">
        <v>2808542</v>
      </c>
      <c r="E18" s="22">
        <f t="shared" si="0"/>
        <v>1.8085420000000001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workbookViewId="0"/>
  </sheetViews>
  <sheetFormatPr baseColWidth="10" defaultRowHeight="16" x14ac:dyDescent="0.2"/>
  <cols>
    <col min="1" max="1" width="12.5" bestFit="1" customWidth="1"/>
    <col min="2" max="2" width="14.5" bestFit="1" customWidth="1"/>
    <col min="3" max="3" width="11.6640625" bestFit="1" customWidth="1"/>
    <col min="5" max="5" width="12.5" bestFit="1" customWidth="1"/>
    <col min="6" max="7" width="8.6640625" bestFit="1" customWidth="1"/>
    <col min="8" max="8" width="14.5" bestFit="1" customWidth="1"/>
    <col min="9" max="9" width="11.1640625" bestFit="1" customWidth="1"/>
    <col min="10" max="10" width="12.5" bestFit="1" customWidth="1"/>
    <col min="11" max="11" width="12.33203125" bestFit="1" customWidth="1"/>
    <col min="12" max="12" width="7.83203125" bestFit="1" customWidth="1"/>
    <col min="13" max="13" width="12.33203125" bestFit="1" customWidth="1"/>
    <col min="14" max="14" width="7.83203125" bestFit="1" customWidth="1"/>
    <col min="15" max="15" width="12.5" bestFit="1" customWidth="1"/>
    <col min="16" max="18" width="12.33203125" bestFit="1" customWidth="1"/>
    <col min="19" max="19" width="15" bestFit="1" customWidth="1"/>
    <col min="20" max="20" width="16" bestFit="1" customWidth="1"/>
    <col min="21" max="21" width="17.33203125" bestFit="1" customWidth="1"/>
  </cols>
  <sheetData>
    <row r="1" spans="1:21" x14ac:dyDescent="0.2">
      <c r="A1" s="44" t="s">
        <v>95</v>
      </c>
    </row>
    <row r="4" spans="1:21" x14ac:dyDescent="0.2">
      <c r="A4" s="61" t="s">
        <v>20</v>
      </c>
      <c r="B4" s="61"/>
      <c r="C4" s="61"/>
      <c r="E4" s="61" t="s">
        <v>5</v>
      </c>
      <c r="F4" s="61"/>
      <c r="G4" s="61"/>
      <c r="H4" s="61"/>
      <c r="J4" s="50" t="s">
        <v>24</v>
      </c>
      <c r="K4" s="51"/>
      <c r="L4" s="51"/>
      <c r="M4" s="51"/>
      <c r="N4" s="51"/>
      <c r="P4" s="61" t="s">
        <v>25</v>
      </c>
      <c r="Q4" s="61"/>
      <c r="R4" s="61"/>
      <c r="S4" s="61"/>
      <c r="T4" s="43"/>
      <c r="U4" s="43"/>
    </row>
    <row r="5" spans="1:21" x14ac:dyDescent="0.2">
      <c r="A5" s="4" t="s">
        <v>10</v>
      </c>
      <c r="B5" s="5" t="s">
        <v>2</v>
      </c>
      <c r="C5" s="5" t="s">
        <v>57</v>
      </c>
      <c r="E5" s="4" t="s">
        <v>10</v>
      </c>
      <c r="F5" s="4" t="s">
        <v>6</v>
      </c>
      <c r="G5" s="4" t="s">
        <v>7</v>
      </c>
      <c r="H5" s="4" t="s">
        <v>2</v>
      </c>
      <c r="J5" s="4" t="s">
        <v>10</v>
      </c>
      <c r="K5" s="29" t="s">
        <v>16</v>
      </c>
      <c r="L5" s="5" t="s">
        <v>13</v>
      </c>
      <c r="M5" s="29" t="s">
        <v>14</v>
      </c>
      <c r="N5" s="5" t="s">
        <v>15</v>
      </c>
      <c r="P5" s="4" t="s">
        <v>10</v>
      </c>
      <c r="Q5" s="5" t="s">
        <v>16</v>
      </c>
      <c r="R5" s="5" t="s">
        <v>14</v>
      </c>
      <c r="S5" s="5" t="s">
        <v>55</v>
      </c>
    </row>
    <row r="6" spans="1:21" x14ac:dyDescent="0.2">
      <c r="A6" s="6" t="s">
        <v>36</v>
      </c>
      <c r="B6" s="9">
        <f>H6</f>
        <v>1</v>
      </c>
      <c r="C6" s="42" t="s">
        <v>4</v>
      </c>
      <c r="E6" s="6" t="s">
        <v>36</v>
      </c>
      <c r="F6" s="6">
        <v>96000</v>
      </c>
      <c r="G6" s="6">
        <f>F6*2</f>
        <v>192000</v>
      </c>
      <c r="H6" s="7">
        <f t="shared" ref="H6:H12" si="0">G6/F6-1</f>
        <v>1</v>
      </c>
      <c r="J6" s="6" t="s">
        <v>36</v>
      </c>
      <c r="K6" s="22">
        <f>F6/SUM(F$6:F$10)</f>
        <v>0.96</v>
      </c>
      <c r="L6" s="6">
        <f>ROUND(20000*K6,0)</f>
        <v>19200</v>
      </c>
      <c r="M6" s="22">
        <f>G6/SUM(G$6:G$10)</f>
        <v>0.96</v>
      </c>
      <c r="N6" s="6">
        <f>ROUND(20000*M6,0)</f>
        <v>19200</v>
      </c>
      <c r="P6" s="6" t="s">
        <v>36</v>
      </c>
      <c r="Q6" s="22">
        <v>0</v>
      </c>
      <c r="R6" s="22">
        <v>0</v>
      </c>
      <c r="S6" s="8" t="e">
        <f>R6/Q6-1</f>
        <v>#DIV/0!</v>
      </c>
    </row>
    <row r="7" spans="1:21" x14ac:dyDescent="0.2">
      <c r="A7" s="6" t="s">
        <v>32</v>
      </c>
      <c r="B7" s="9">
        <f>H7</f>
        <v>1</v>
      </c>
      <c r="C7" s="8">
        <f>S7</f>
        <v>0</v>
      </c>
      <c r="E7" s="6" t="s">
        <v>32</v>
      </c>
      <c r="F7" s="6">
        <v>2500</v>
      </c>
      <c r="G7" s="6">
        <f t="shared" ref="G7:G10" si="1">F7*2</f>
        <v>5000</v>
      </c>
      <c r="H7" s="7">
        <f t="shared" si="0"/>
        <v>1</v>
      </c>
      <c r="J7" s="6" t="s">
        <v>32</v>
      </c>
      <c r="K7" s="22">
        <f>F7/SUM(F$6:F$10)</f>
        <v>2.5000000000000001E-2</v>
      </c>
      <c r="L7" s="6">
        <f>ROUND(20000*K7,0)</f>
        <v>500</v>
      </c>
      <c r="M7" s="22">
        <f>G7/SUM(G$6:G$10)</f>
        <v>2.5000000000000001E-2</v>
      </c>
      <c r="N7" s="6">
        <f>ROUND(20000*M7,0)</f>
        <v>500</v>
      </c>
      <c r="P7" s="6" t="s">
        <v>32</v>
      </c>
      <c r="Q7" s="22">
        <f>L7/SUM(L$7:L$10)</f>
        <v>0.625</v>
      </c>
      <c r="R7" s="22">
        <f>N7/SUM(N$7:N$10)</f>
        <v>0.625</v>
      </c>
      <c r="S7" s="8">
        <f>R7/Q7-1</f>
        <v>0</v>
      </c>
    </row>
    <row r="8" spans="1:21" x14ac:dyDescent="0.2">
      <c r="A8" s="6" t="s">
        <v>33</v>
      </c>
      <c r="B8" s="9">
        <f>H8</f>
        <v>1</v>
      </c>
      <c r="C8" s="8">
        <f>S8</f>
        <v>0</v>
      </c>
      <c r="E8" s="6" t="s">
        <v>33</v>
      </c>
      <c r="F8" s="6">
        <v>1000</v>
      </c>
      <c r="G8" s="6">
        <f t="shared" si="1"/>
        <v>2000</v>
      </c>
      <c r="H8" s="7">
        <f t="shared" si="0"/>
        <v>1</v>
      </c>
      <c r="J8" s="6" t="s">
        <v>33</v>
      </c>
      <c r="K8" s="22">
        <f>F8/SUM(F$6:F$10)</f>
        <v>0.01</v>
      </c>
      <c r="L8" s="6">
        <f>ROUND(20000*K8,0)</f>
        <v>200</v>
      </c>
      <c r="M8" s="22">
        <f>G8/SUM(G$6:G$10)</f>
        <v>0.01</v>
      </c>
      <c r="N8" s="6">
        <f>ROUND(20000*M8,0)</f>
        <v>200</v>
      </c>
      <c r="P8" s="6" t="s">
        <v>33</v>
      </c>
      <c r="Q8" s="22">
        <f>L8/SUM(L$7:L$10)</f>
        <v>0.25</v>
      </c>
      <c r="R8" s="22">
        <f>N8/SUM(N$7:N$10)</f>
        <v>0.25</v>
      </c>
      <c r="S8" s="8">
        <f>R8/Q8-1</f>
        <v>0</v>
      </c>
    </row>
    <row r="9" spans="1:21" x14ac:dyDescent="0.2">
      <c r="A9" s="6" t="s">
        <v>34</v>
      </c>
      <c r="B9" s="9">
        <f>H9</f>
        <v>1</v>
      </c>
      <c r="C9" s="8">
        <f>S9</f>
        <v>0</v>
      </c>
      <c r="E9" s="6" t="s">
        <v>34</v>
      </c>
      <c r="F9" s="6">
        <v>400</v>
      </c>
      <c r="G9" s="6">
        <f t="shared" si="1"/>
        <v>800</v>
      </c>
      <c r="H9" s="7">
        <f t="shared" si="0"/>
        <v>1</v>
      </c>
      <c r="J9" s="6" t="s">
        <v>34</v>
      </c>
      <c r="K9" s="22">
        <f>F9/SUM(F$6:F$10)</f>
        <v>4.0000000000000001E-3</v>
      </c>
      <c r="L9" s="6">
        <f>ROUND(20000*K9,0)</f>
        <v>80</v>
      </c>
      <c r="M9" s="22">
        <f>G9/SUM(G$6:G$10)</f>
        <v>4.0000000000000001E-3</v>
      </c>
      <c r="N9" s="6">
        <f>ROUND(20000*M9,0)</f>
        <v>80</v>
      </c>
      <c r="P9" s="6" t="s">
        <v>34</v>
      </c>
      <c r="Q9" s="22">
        <f>L9/SUM(L$7:L$10)</f>
        <v>0.1</v>
      </c>
      <c r="R9" s="22">
        <f>N9/SUM(N$7:N$10)</f>
        <v>0.1</v>
      </c>
      <c r="S9" s="8">
        <f>R9/Q9-1</f>
        <v>0</v>
      </c>
    </row>
    <row r="10" spans="1:21" ht="17" thickBot="1" x14ac:dyDescent="0.25">
      <c r="A10" s="6" t="s">
        <v>35</v>
      </c>
      <c r="B10" s="9">
        <f>H10</f>
        <v>1</v>
      </c>
      <c r="C10" s="8">
        <f>S10</f>
        <v>0</v>
      </c>
      <c r="E10" s="14" t="s">
        <v>35</v>
      </c>
      <c r="F10" s="14">
        <v>100</v>
      </c>
      <c r="G10" s="14">
        <f t="shared" si="1"/>
        <v>200</v>
      </c>
      <c r="H10" s="20">
        <f t="shared" si="0"/>
        <v>1</v>
      </c>
      <c r="J10" s="6" t="s">
        <v>35</v>
      </c>
      <c r="K10" s="22">
        <f>F10/SUM(F$6:F$10)</f>
        <v>1E-3</v>
      </c>
      <c r="L10" s="6">
        <f>ROUND(20000*K10,0)</f>
        <v>20</v>
      </c>
      <c r="M10" s="22">
        <f>G10/SUM(G$6:G$10)</f>
        <v>1E-3</v>
      </c>
      <c r="N10" s="6">
        <f>ROUND(20000*M10,0)</f>
        <v>20</v>
      </c>
      <c r="P10" s="6" t="s">
        <v>35</v>
      </c>
      <c r="Q10" s="22">
        <f>L10/SUM(L$7:L$10)</f>
        <v>2.5000000000000001E-2</v>
      </c>
      <c r="R10" s="22">
        <f>N10/SUM(N$7:N$10)</f>
        <v>2.5000000000000001E-2</v>
      </c>
      <c r="S10" s="8">
        <f>R10/Q10-1</f>
        <v>0</v>
      </c>
    </row>
    <row r="11" spans="1:21" ht="18" thickTop="1" thickBot="1" x14ac:dyDescent="0.25">
      <c r="E11" s="11" t="s">
        <v>9</v>
      </c>
      <c r="F11" s="11">
        <f>SUM(F7:F10)</f>
        <v>4000</v>
      </c>
      <c r="G11" s="11">
        <f>SUM(G7:G10)</f>
        <v>8000</v>
      </c>
      <c r="H11" s="12">
        <f t="shared" si="0"/>
        <v>1</v>
      </c>
      <c r="J11" s="14" t="s">
        <v>9</v>
      </c>
      <c r="K11" s="24">
        <f>SUM(K7:K10)</f>
        <v>4.0000000000000008E-2</v>
      </c>
      <c r="L11" s="14">
        <f>SUM(L7:L10)</f>
        <v>800</v>
      </c>
      <c r="M11" s="24">
        <f>SUM(M7:M10)</f>
        <v>4.0000000000000008E-2</v>
      </c>
      <c r="N11" s="14">
        <f>SUM(N7:N10)</f>
        <v>800</v>
      </c>
    </row>
    <row r="12" spans="1:21" ht="17" customHeight="1" thickTop="1" x14ac:dyDescent="0.2">
      <c r="A12" s="62" t="s">
        <v>58</v>
      </c>
      <c r="B12" s="62"/>
      <c r="C12" s="62"/>
      <c r="E12" s="6" t="s">
        <v>8</v>
      </c>
      <c r="F12" s="6">
        <f>SUM(F6:F10)</f>
        <v>100000</v>
      </c>
      <c r="G12" s="6">
        <f>SUM(G6:G10)</f>
        <v>200000</v>
      </c>
      <c r="H12" s="7">
        <f t="shared" si="0"/>
        <v>1</v>
      </c>
      <c r="J12" s="11" t="s">
        <v>8</v>
      </c>
      <c r="K12" s="23">
        <f>SUM(K6:K10)</f>
        <v>1</v>
      </c>
      <c r="L12" s="11">
        <f>SUM(L6:L10)</f>
        <v>20000</v>
      </c>
      <c r="M12" s="23">
        <f>SUM(M6:M10)</f>
        <v>1</v>
      </c>
      <c r="N12" s="11">
        <f>SUM(N6:N10)</f>
        <v>20000</v>
      </c>
      <c r="P12" s="63" t="s">
        <v>59</v>
      </c>
      <c r="Q12" s="63"/>
      <c r="R12" s="63"/>
      <c r="S12" s="63"/>
      <c r="T12" s="39"/>
    </row>
    <row r="13" spans="1:21" x14ac:dyDescent="0.2">
      <c r="A13" s="62"/>
      <c r="B13" s="62"/>
      <c r="C13" s="62"/>
      <c r="J13" s="2"/>
      <c r="P13" s="63"/>
      <c r="Q13" s="63"/>
      <c r="R13" s="63"/>
      <c r="S13" s="63"/>
      <c r="T13" s="39"/>
    </row>
    <row r="14" spans="1:21" ht="16" customHeight="1" x14ac:dyDescent="0.2">
      <c r="A14" s="62"/>
      <c r="B14" s="62"/>
      <c r="C14" s="62"/>
      <c r="E14" s="62" t="s">
        <v>54</v>
      </c>
      <c r="F14" s="62"/>
      <c r="G14" s="62"/>
      <c r="H14" s="62"/>
      <c r="J14" s="52" t="s">
        <v>56</v>
      </c>
      <c r="K14" s="53"/>
      <c r="L14" s="53"/>
      <c r="M14" s="53"/>
      <c r="N14" s="54"/>
      <c r="P14" s="63"/>
      <c r="Q14" s="63"/>
      <c r="R14" s="63"/>
      <c r="S14" s="63"/>
      <c r="T14" s="39"/>
    </row>
    <row r="15" spans="1:21" x14ac:dyDescent="0.2">
      <c r="A15" s="62"/>
      <c r="B15" s="62"/>
      <c r="C15" s="62"/>
      <c r="E15" s="62"/>
      <c r="F15" s="62"/>
      <c r="G15" s="62"/>
      <c r="H15" s="62"/>
      <c r="J15" s="55"/>
      <c r="K15" s="56"/>
      <c r="L15" s="56"/>
      <c r="M15" s="56"/>
      <c r="N15" s="57"/>
      <c r="P15" s="63"/>
      <c r="Q15" s="63"/>
      <c r="R15" s="63"/>
      <c r="S15" s="63"/>
    </row>
    <row r="16" spans="1:21" x14ac:dyDescent="0.2">
      <c r="J16" s="58"/>
      <c r="K16" s="59"/>
      <c r="L16" s="59"/>
      <c r="M16" s="59"/>
      <c r="N16" s="60"/>
    </row>
    <row r="17" spans="10:14" x14ac:dyDescent="0.2">
      <c r="J17" s="3"/>
      <c r="K17" s="3"/>
      <c r="L17" s="3"/>
      <c r="M17" s="3"/>
      <c r="N17" s="3"/>
    </row>
  </sheetData>
  <mergeCells count="8">
    <mergeCell ref="J4:N4"/>
    <mergeCell ref="J14:N16"/>
    <mergeCell ref="P4:S4"/>
    <mergeCell ref="A12:C15"/>
    <mergeCell ref="P12:S15"/>
    <mergeCell ref="E14:H15"/>
    <mergeCell ref="A4:C4"/>
    <mergeCell ref="E4:H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4"/>
  <sheetViews>
    <sheetView zoomScale="101" workbookViewId="0">
      <selection activeCell="A2" sqref="A2"/>
    </sheetView>
  </sheetViews>
  <sheetFormatPr baseColWidth="10" defaultRowHeight="16" x14ac:dyDescent="0.2"/>
  <cols>
    <col min="1" max="1" width="12.5" bestFit="1" customWidth="1"/>
    <col min="2" max="2" width="14.5" bestFit="1" customWidth="1"/>
    <col min="3" max="3" width="10.33203125" bestFit="1" customWidth="1"/>
    <col min="4" max="4" width="16.5" bestFit="1" customWidth="1"/>
    <col min="5" max="5" width="16.5" customWidth="1"/>
    <col min="7" max="7" width="12.5" bestFit="1" customWidth="1"/>
    <col min="8" max="8" width="14.1640625" bestFit="1" customWidth="1"/>
    <col min="9" max="9" width="11.1640625" bestFit="1" customWidth="1"/>
    <col min="10" max="10" width="14.1640625" bestFit="1" customWidth="1"/>
    <col min="11" max="11" width="11.1640625" bestFit="1" customWidth="1"/>
    <col min="12" max="12" width="12.5" bestFit="1" customWidth="1"/>
    <col min="14" max="15" width="12.33203125" bestFit="1" customWidth="1"/>
    <col min="16" max="16" width="18.6640625" bestFit="1" customWidth="1"/>
    <col min="18" max="18" width="12.5" bestFit="1" customWidth="1"/>
    <col min="19" max="20" width="12.33203125" bestFit="1" customWidth="1"/>
    <col min="21" max="21" width="18.6640625" bestFit="1" customWidth="1"/>
    <col min="23" max="23" width="12.5" bestFit="1" customWidth="1"/>
    <col min="24" max="25" width="8.1640625" bestFit="1" customWidth="1"/>
    <col min="26" max="26" width="18.6640625" bestFit="1" customWidth="1"/>
    <col min="28" max="28" width="12.5" bestFit="1" customWidth="1"/>
    <col min="29" max="30" width="8.1640625" bestFit="1" customWidth="1"/>
    <col min="31" max="31" width="18.6640625" bestFit="1" customWidth="1"/>
  </cols>
  <sheetData>
    <row r="1" spans="1:31" x14ac:dyDescent="0.2">
      <c r="A1" s="44" t="s">
        <v>96</v>
      </c>
    </row>
    <row r="4" spans="1:31" x14ac:dyDescent="0.2">
      <c r="A4" s="61" t="s">
        <v>20</v>
      </c>
      <c r="B4" s="61"/>
      <c r="C4" s="61"/>
      <c r="D4" s="61"/>
      <c r="E4" s="61"/>
      <c r="G4" s="61" t="s">
        <v>5</v>
      </c>
      <c r="H4" s="61"/>
      <c r="I4" s="61"/>
      <c r="J4" s="61"/>
      <c r="L4" s="61" t="s">
        <v>11</v>
      </c>
      <c r="M4" s="61"/>
      <c r="N4" s="61"/>
      <c r="O4" s="61"/>
      <c r="P4" s="61"/>
      <c r="R4" s="61" t="s">
        <v>12</v>
      </c>
      <c r="S4" s="61"/>
      <c r="T4" s="61"/>
      <c r="U4" s="61"/>
      <c r="W4" s="61" t="s">
        <v>17</v>
      </c>
      <c r="X4" s="61"/>
      <c r="Y4" s="61"/>
      <c r="Z4" s="61"/>
      <c r="AB4" s="61" t="s">
        <v>37</v>
      </c>
      <c r="AC4" s="61"/>
      <c r="AD4" s="61"/>
      <c r="AE4" s="61"/>
    </row>
    <row r="5" spans="1:31" x14ac:dyDescent="0.2">
      <c r="A5" s="4" t="s">
        <v>10</v>
      </c>
      <c r="B5" s="5" t="s">
        <v>2</v>
      </c>
      <c r="C5" s="5" t="s">
        <v>21</v>
      </c>
      <c r="D5" s="5" t="s">
        <v>22</v>
      </c>
      <c r="E5" s="5" t="s">
        <v>23</v>
      </c>
      <c r="G5" s="18" t="s">
        <v>10</v>
      </c>
      <c r="H5" s="18" t="s">
        <v>6</v>
      </c>
      <c r="I5" s="18" t="s">
        <v>7</v>
      </c>
      <c r="J5" s="18" t="s">
        <v>2</v>
      </c>
      <c r="L5" s="18" t="s">
        <v>10</v>
      </c>
      <c r="M5" s="21" t="s">
        <v>27</v>
      </c>
      <c r="N5" s="6" t="s">
        <v>13</v>
      </c>
      <c r="O5" s="21" t="s">
        <v>28</v>
      </c>
      <c r="P5" s="6" t="s">
        <v>15</v>
      </c>
      <c r="R5" s="18" t="s">
        <v>10</v>
      </c>
      <c r="S5" s="6" t="s">
        <v>16</v>
      </c>
      <c r="T5" s="6" t="s">
        <v>14</v>
      </c>
      <c r="U5" s="6" t="s">
        <v>3</v>
      </c>
      <c r="W5" s="18" t="s">
        <v>10</v>
      </c>
      <c r="X5" s="6" t="s">
        <v>18</v>
      </c>
      <c r="Y5" s="26" t="s">
        <v>19</v>
      </c>
      <c r="Z5" s="6" t="s">
        <v>3</v>
      </c>
      <c r="AB5" s="18" t="s">
        <v>10</v>
      </c>
      <c r="AC5" s="6" t="s">
        <v>18</v>
      </c>
      <c r="AD5" s="26" t="s">
        <v>19</v>
      </c>
      <c r="AE5" s="6" t="s">
        <v>3</v>
      </c>
    </row>
    <row r="6" spans="1:31" x14ac:dyDescent="0.2">
      <c r="A6" s="6" t="s">
        <v>36</v>
      </c>
      <c r="B6" s="7">
        <f t="shared" ref="B6:B12" si="0">J6</f>
        <v>0</v>
      </c>
      <c r="C6" s="42" t="s">
        <v>4</v>
      </c>
      <c r="D6" s="42" t="s">
        <v>4</v>
      </c>
      <c r="E6" s="42" t="s">
        <v>4</v>
      </c>
      <c r="G6" s="6" t="s">
        <v>36</v>
      </c>
      <c r="H6" s="6">
        <v>96000</v>
      </c>
      <c r="I6" s="6">
        <f>H6</f>
        <v>96000</v>
      </c>
      <c r="J6" s="7">
        <f>I6/H6-1</f>
        <v>0</v>
      </c>
      <c r="L6" s="6" t="s">
        <v>36</v>
      </c>
      <c r="M6" s="22">
        <f t="shared" ref="M6:M12" si="1">H6/SUM(H$6:H$12)</f>
        <v>0.95880149812734083</v>
      </c>
      <c r="N6" s="6">
        <f t="shared" ref="N6:N11" si="2">ROUND(20000*M6,0)</f>
        <v>19176</v>
      </c>
      <c r="O6" s="22">
        <f t="shared" ref="O6:O12" si="3">I6/SUM(I$6:I$12)</f>
        <v>0.97984179637662672</v>
      </c>
      <c r="P6" s="6">
        <f>ROUND(20000*O6,0)</f>
        <v>19597</v>
      </c>
      <c r="R6" s="6" t="s">
        <v>36</v>
      </c>
      <c r="S6" s="22">
        <v>0</v>
      </c>
      <c r="T6" s="22">
        <v>0</v>
      </c>
      <c r="U6" s="8" t="e">
        <f t="shared" ref="U6:U12" si="4">T6/S6-1</f>
        <v>#DIV/0!</v>
      </c>
      <c r="W6" s="6" t="s">
        <v>36</v>
      </c>
      <c r="X6" s="26">
        <f t="shared" ref="X6:X12" si="5">S6/$S$11</f>
        <v>0</v>
      </c>
      <c r="Y6" s="26">
        <f t="shared" ref="Y6:Y12" si="6">T6/$T$11</f>
        <v>0</v>
      </c>
      <c r="Z6" s="8" t="e">
        <f t="shared" ref="Z6:Z12" si="7">Y6/X6-1</f>
        <v>#DIV/0!</v>
      </c>
      <c r="AB6" s="6" t="s">
        <v>36</v>
      </c>
      <c r="AC6" s="26">
        <f>S6/$S$12</f>
        <v>0</v>
      </c>
      <c r="AD6" s="26">
        <f>T6/$T$12</f>
        <v>0</v>
      </c>
      <c r="AE6" s="8" t="e">
        <f t="shared" ref="AE6:AE12" si="8">AD6/AC6-1</f>
        <v>#DIV/0!</v>
      </c>
    </row>
    <row r="7" spans="1:31" x14ac:dyDescent="0.2">
      <c r="A7" s="6" t="s">
        <v>32</v>
      </c>
      <c r="B7" s="9">
        <f t="shared" si="0"/>
        <v>-0.5</v>
      </c>
      <c r="C7" s="8">
        <f t="shared" ref="C7:C12" si="9">U7</f>
        <v>4.0877824444958799E-2</v>
      </c>
      <c r="D7" s="10">
        <f t="shared" ref="D7:D12" si="10">Z7</f>
        <v>-0.48897795591182369</v>
      </c>
      <c r="E7" s="10">
        <f t="shared" ref="E7:E12" si="11">AE7</f>
        <v>-0.48897795591182358</v>
      </c>
      <c r="G7" s="6" t="s">
        <v>32</v>
      </c>
      <c r="H7" s="6">
        <v>2500</v>
      </c>
      <c r="I7" s="6">
        <f>ROUND(H7*0.5,0)</f>
        <v>1250</v>
      </c>
      <c r="J7" s="7">
        <f>I7/H7-1</f>
        <v>-0.5</v>
      </c>
      <c r="L7" s="6" t="s">
        <v>32</v>
      </c>
      <c r="M7" s="22">
        <f t="shared" si="1"/>
        <v>2.4968789013732832E-2</v>
      </c>
      <c r="N7" s="6">
        <f t="shared" si="2"/>
        <v>499</v>
      </c>
      <c r="O7" s="22">
        <f t="shared" si="3"/>
        <v>1.2758356723653993E-2</v>
      </c>
      <c r="P7" s="6">
        <f>ROUND(20000*O7,0)</f>
        <v>255</v>
      </c>
      <c r="R7" s="6" t="s">
        <v>32</v>
      </c>
      <c r="S7" s="22">
        <f t="shared" ref="S7:S12" si="12">N7/SUM(N$7:N$12)</f>
        <v>0.60193003618817853</v>
      </c>
      <c r="T7" s="22">
        <f t="shared" ref="T7:T12" si="13">P7/SUM(P$7:P$12)</f>
        <v>0.62653562653562656</v>
      </c>
      <c r="U7" s="8">
        <f t="shared" si="4"/>
        <v>4.0877824444958799E-2</v>
      </c>
      <c r="W7" s="6" t="s">
        <v>32</v>
      </c>
      <c r="X7" s="26">
        <f t="shared" si="5"/>
        <v>19.96</v>
      </c>
      <c r="Y7" s="26">
        <f t="shared" si="6"/>
        <v>10.199999999999999</v>
      </c>
      <c r="Z7" s="8">
        <f t="shared" si="7"/>
        <v>-0.48897795591182369</v>
      </c>
      <c r="AB7" s="6" t="s">
        <v>32</v>
      </c>
      <c r="AC7" s="26">
        <f t="shared" ref="AC7:AC12" si="14">S7/$S$12</f>
        <v>99.8</v>
      </c>
      <c r="AD7" s="26">
        <f t="shared" ref="AD7:AD12" si="15">T7/$T$12</f>
        <v>51.000000000000007</v>
      </c>
      <c r="AE7" s="8">
        <f t="shared" si="8"/>
        <v>-0.48897795591182358</v>
      </c>
    </row>
    <row r="8" spans="1:31" x14ac:dyDescent="0.2">
      <c r="A8" s="6" t="s">
        <v>33</v>
      </c>
      <c r="B8" s="9">
        <f t="shared" si="0"/>
        <v>-0.75</v>
      </c>
      <c r="C8" s="8">
        <f t="shared" si="9"/>
        <v>-0.48060196560196555</v>
      </c>
      <c r="D8" s="10">
        <f t="shared" si="10"/>
        <v>-0.745</v>
      </c>
      <c r="E8" s="10">
        <f t="shared" si="11"/>
        <v>-0.745</v>
      </c>
      <c r="G8" s="6" t="s">
        <v>33</v>
      </c>
      <c r="H8" s="6">
        <v>1000</v>
      </c>
      <c r="I8" s="6">
        <f>ROUND(H8*0.25,0)</f>
        <v>250</v>
      </c>
      <c r="J8" s="7">
        <f>I8/H8-1</f>
        <v>-0.75</v>
      </c>
      <c r="L8" s="6" t="s">
        <v>33</v>
      </c>
      <c r="M8" s="22">
        <f t="shared" si="1"/>
        <v>9.9875156054931337E-3</v>
      </c>
      <c r="N8" s="6">
        <f t="shared" si="2"/>
        <v>200</v>
      </c>
      <c r="O8" s="22">
        <f t="shared" si="3"/>
        <v>2.5516713447307987E-3</v>
      </c>
      <c r="P8" s="6">
        <f>ROUND(20000*O8,0)</f>
        <v>51</v>
      </c>
      <c r="R8" s="6" t="s">
        <v>33</v>
      </c>
      <c r="S8" s="22">
        <f t="shared" si="12"/>
        <v>0.24125452352231605</v>
      </c>
      <c r="T8" s="22">
        <f t="shared" si="13"/>
        <v>0.12530712530712532</v>
      </c>
      <c r="U8" s="8">
        <f t="shared" si="4"/>
        <v>-0.48060196560196555</v>
      </c>
      <c r="W8" s="6" t="s">
        <v>33</v>
      </c>
      <c r="X8" s="26">
        <f t="shared" si="5"/>
        <v>8</v>
      </c>
      <c r="Y8" s="26">
        <f t="shared" si="6"/>
        <v>2.04</v>
      </c>
      <c r="Z8" s="8">
        <f t="shared" si="7"/>
        <v>-0.745</v>
      </c>
      <c r="AB8" s="6" t="s">
        <v>33</v>
      </c>
      <c r="AC8" s="26">
        <f t="shared" si="14"/>
        <v>40</v>
      </c>
      <c r="AD8" s="26">
        <f t="shared" si="15"/>
        <v>10.200000000000001</v>
      </c>
      <c r="AE8" s="8">
        <f t="shared" si="8"/>
        <v>-0.745</v>
      </c>
    </row>
    <row r="9" spans="1:31" x14ac:dyDescent="0.2">
      <c r="A9" s="6" t="s">
        <v>34</v>
      </c>
      <c r="B9" s="9">
        <f t="shared" si="0"/>
        <v>-0.25</v>
      </c>
      <c r="C9" s="8">
        <f t="shared" si="9"/>
        <v>0.55310196560196556</v>
      </c>
      <c r="D9" s="10">
        <f t="shared" si="10"/>
        <v>-0.23749999999999993</v>
      </c>
      <c r="E9" s="10">
        <f t="shared" si="11"/>
        <v>-0.23750000000000004</v>
      </c>
      <c r="G9" s="6" t="s">
        <v>34</v>
      </c>
      <c r="H9" s="6">
        <v>400</v>
      </c>
      <c r="I9" s="6">
        <f>ROUND(H9*0.75,0)</f>
        <v>300</v>
      </c>
      <c r="J9" s="7">
        <f>I9/H9-1</f>
        <v>-0.25</v>
      </c>
      <c r="L9" s="6" t="s">
        <v>34</v>
      </c>
      <c r="M9" s="22">
        <f t="shared" si="1"/>
        <v>3.9950062421972533E-3</v>
      </c>
      <c r="N9" s="6">
        <f t="shared" si="2"/>
        <v>80</v>
      </c>
      <c r="O9" s="22">
        <f t="shared" si="3"/>
        <v>3.0620056136769582E-3</v>
      </c>
      <c r="P9" s="6">
        <f>ROUND(20000*O9,0)</f>
        <v>61</v>
      </c>
      <c r="R9" s="6" t="s">
        <v>34</v>
      </c>
      <c r="S9" s="22">
        <f t="shared" si="12"/>
        <v>9.6501809408926414E-2</v>
      </c>
      <c r="T9" s="22">
        <f t="shared" si="13"/>
        <v>0.14987714987714987</v>
      </c>
      <c r="U9" s="8">
        <f t="shared" si="4"/>
        <v>0.55310196560196556</v>
      </c>
      <c r="W9" s="6" t="s">
        <v>34</v>
      </c>
      <c r="X9" s="26">
        <f t="shared" si="5"/>
        <v>3.1999999999999997</v>
      </c>
      <c r="Y9" s="26">
        <f t="shared" si="6"/>
        <v>2.44</v>
      </c>
      <c r="Z9" s="8">
        <f t="shared" si="7"/>
        <v>-0.23749999999999993</v>
      </c>
      <c r="AB9" s="6" t="s">
        <v>34</v>
      </c>
      <c r="AC9" s="26">
        <f t="shared" si="14"/>
        <v>16</v>
      </c>
      <c r="AD9" s="26">
        <f t="shared" si="15"/>
        <v>12.2</v>
      </c>
      <c r="AE9" s="8">
        <f t="shared" si="8"/>
        <v>-0.23750000000000004</v>
      </c>
    </row>
    <row r="10" spans="1:31" ht="17" thickBot="1" x14ac:dyDescent="0.25">
      <c r="A10" s="14" t="s">
        <v>35</v>
      </c>
      <c r="B10" s="15">
        <f t="shared" si="0"/>
        <v>-0.5</v>
      </c>
      <c r="C10" s="16">
        <f t="shared" si="9"/>
        <v>1.8427518427518441E-2</v>
      </c>
      <c r="D10" s="17">
        <f t="shared" si="10"/>
        <v>-0.5</v>
      </c>
      <c r="E10" s="17">
        <f t="shared" si="11"/>
        <v>-0.5</v>
      </c>
      <c r="G10" s="14" t="s">
        <v>35</v>
      </c>
      <c r="H10" s="14">
        <v>100</v>
      </c>
      <c r="I10" s="32">
        <f t="shared" ref="I10" si="16">ROUND(H10*0.5,0)</f>
        <v>50</v>
      </c>
      <c r="J10" s="20">
        <f>I10/H10-1</f>
        <v>-0.5</v>
      </c>
      <c r="L10" s="14" t="s">
        <v>35</v>
      </c>
      <c r="M10" s="24">
        <f t="shared" si="1"/>
        <v>9.9875156054931333E-4</v>
      </c>
      <c r="N10" s="14">
        <f t="shared" si="2"/>
        <v>20</v>
      </c>
      <c r="O10" s="24">
        <f t="shared" si="3"/>
        <v>5.1033426894615971E-4</v>
      </c>
      <c r="P10" s="14">
        <f>ROUND(20000*O10,0)</f>
        <v>10</v>
      </c>
      <c r="R10" s="14" t="s">
        <v>35</v>
      </c>
      <c r="S10" s="24">
        <f t="shared" si="12"/>
        <v>2.4125452352231604E-2</v>
      </c>
      <c r="T10" s="24">
        <f t="shared" si="13"/>
        <v>2.4570024570024569E-2</v>
      </c>
      <c r="U10" s="16">
        <f t="shared" si="4"/>
        <v>1.8427518427518441E-2</v>
      </c>
      <c r="W10" s="14" t="s">
        <v>35</v>
      </c>
      <c r="X10" s="28">
        <f t="shared" si="5"/>
        <v>0.79999999999999993</v>
      </c>
      <c r="Y10" s="28">
        <f t="shared" si="6"/>
        <v>0.39999999999999997</v>
      </c>
      <c r="Z10" s="16">
        <f t="shared" si="7"/>
        <v>-0.5</v>
      </c>
      <c r="AB10" s="14" t="s">
        <v>35</v>
      </c>
      <c r="AC10" s="28">
        <f t="shared" si="14"/>
        <v>4</v>
      </c>
      <c r="AD10" s="28">
        <f t="shared" si="15"/>
        <v>2</v>
      </c>
      <c r="AE10" s="16">
        <f t="shared" si="8"/>
        <v>-0.5</v>
      </c>
    </row>
    <row r="11" spans="1:31" ht="18" thickTop="1" thickBot="1" x14ac:dyDescent="0.25">
      <c r="A11" s="11" t="s">
        <v>0</v>
      </c>
      <c r="B11" s="12">
        <f t="shared" si="0"/>
        <v>0</v>
      </c>
      <c r="C11" s="13">
        <f t="shared" si="9"/>
        <v>1.0368550368550369</v>
      </c>
      <c r="D11" s="13">
        <f t="shared" si="10"/>
        <v>0</v>
      </c>
      <c r="E11" s="13">
        <f t="shared" si="11"/>
        <v>0</v>
      </c>
      <c r="G11" s="11" t="s">
        <v>0</v>
      </c>
      <c r="H11" s="25">
        <v>125</v>
      </c>
      <c r="I11" s="25">
        <v>125</v>
      </c>
      <c r="J11" s="12">
        <v>0</v>
      </c>
      <c r="L11" s="11" t="s">
        <v>0</v>
      </c>
      <c r="M11" s="23">
        <f t="shared" si="1"/>
        <v>1.2484394506866417E-3</v>
      </c>
      <c r="N11" s="19">
        <f t="shared" si="2"/>
        <v>25</v>
      </c>
      <c r="O11" s="23">
        <f t="shared" si="3"/>
        <v>1.2758356723653994E-3</v>
      </c>
      <c r="P11" s="25">
        <f>N11</f>
        <v>25</v>
      </c>
      <c r="R11" s="11" t="s">
        <v>0</v>
      </c>
      <c r="S11" s="23">
        <f t="shared" si="12"/>
        <v>3.0156815440289506E-2</v>
      </c>
      <c r="T11" s="23">
        <f t="shared" si="13"/>
        <v>6.1425061425061427E-2</v>
      </c>
      <c r="U11" s="13">
        <f t="shared" si="4"/>
        <v>1.0368550368550369</v>
      </c>
      <c r="W11" s="11" t="s">
        <v>0</v>
      </c>
      <c r="X11" s="27">
        <f t="shared" si="5"/>
        <v>1</v>
      </c>
      <c r="Y11" s="27">
        <f t="shared" si="6"/>
        <v>1</v>
      </c>
      <c r="Z11" s="13">
        <f t="shared" si="7"/>
        <v>0</v>
      </c>
      <c r="AB11" s="11" t="s">
        <v>0</v>
      </c>
      <c r="AC11" s="27">
        <f t="shared" si="14"/>
        <v>5</v>
      </c>
      <c r="AD11" s="27">
        <f t="shared" si="15"/>
        <v>5</v>
      </c>
      <c r="AE11" s="13">
        <f t="shared" si="8"/>
        <v>0</v>
      </c>
    </row>
    <row r="12" spans="1:31" ht="18" thickTop="1" thickBot="1" x14ac:dyDescent="0.25">
      <c r="A12" s="6" t="s">
        <v>1</v>
      </c>
      <c r="B12" s="7">
        <f t="shared" si="0"/>
        <v>0</v>
      </c>
      <c r="C12" s="8">
        <f t="shared" si="9"/>
        <v>1.0368550368550369</v>
      </c>
      <c r="D12" s="8">
        <f t="shared" si="10"/>
        <v>0</v>
      </c>
      <c r="E12" s="8">
        <f t="shared" si="11"/>
        <v>0</v>
      </c>
      <c r="G12" s="14" t="s">
        <v>1</v>
      </c>
      <c r="H12" s="30">
        <v>0</v>
      </c>
      <c r="I12" s="30">
        <v>0</v>
      </c>
      <c r="J12" s="20">
        <v>0</v>
      </c>
      <c r="L12" s="14" t="s">
        <v>1</v>
      </c>
      <c r="M12" s="24">
        <f t="shared" si="1"/>
        <v>0</v>
      </c>
      <c r="N12" s="19">
        <v>5</v>
      </c>
      <c r="O12" s="24">
        <f t="shared" si="3"/>
        <v>0</v>
      </c>
      <c r="P12" s="19">
        <v>5</v>
      </c>
      <c r="R12" s="14" t="s">
        <v>1</v>
      </c>
      <c r="S12" s="24">
        <f t="shared" si="12"/>
        <v>6.0313630880579009E-3</v>
      </c>
      <c r="T12" s="24">
        <f t="shared" si="13"/>
        <v>1.2285012285012284E-2</v>
      </c>
      <c r="U12" s="16">
        <f t="shared" si="4"/>
        <v>1.0368550368550369</v>
      </c>
      <c r="W12" s="6" t="s">
        <v>1</v>
      </c>
      <c r="X12" s="26">
        <f t="shared" si="5"/>
        <v>0.19999999999999998</v>
      </c>
      <c r="Y12" s="26">
        <f t="shared" si="6"/>
        <v>0.19999999999999998</v>
      </c>
      <c r="Z12" s="8">
        <f t="shared" si="7"/>
        <v>0</v>
      </c>
      <c r="AB12" s="6" t="s">
        <v>1</v>
      </c>
      <c r="AC12" s="26">
        <f t="shared" si="14"/>
        <v>1</v>
      </c>
      <c r="AD12" s="26">
        <f t="shared" si="15"/>
        <v>1</v>
      </c>
      <c r="AE12" s="8">
        <f t="shared" si="8"/>
        <v>0</v>
      </c>
    </row>
    <row r="13" spans="1:31" ht="17" thickTop="1" x14ac:dyDescent="0.2">
      <c r="G13" s="11" t="s">
        <v>9</v>
      </c>
      <c r="H13" s="11">
        <f>SUM(H7:H12)</f>
        <v>4125</v>
      </c>
      <c r="I13" s="11">
        <f>SUM(I7:I12)</f>
        <v>1975</v>
      </c>
      <c r="J13" s="12">
        <f>I13/H13-1</f>
        <v>-0.52121212121212124</v>
      </c>
      <c r="L13" s="11" t="s">
        <v>9</v>
      </c>
      <c r="M13" s="23">
        <f>SUM(M7:M12)</f>
        <v>4.119850187265918E-2</v>
      </c>
      <c r="N13" s="11">
        <f>SUM(N7:N12)</f>
        <v>829</v>
      </c>
      <c r="O13" s="23">
        <f>SUM(O7:O12)</f>
        <v>2.0158203623373307E-2</v>
      </c>
      <c r="P13" s="11">
        <f>SUM(P7:P12)</f>
        <v>407</v>
      </c>
      <c r="R13" s="11" t="s">
        <v>39</v>
      </c>
      <c r="S13" s="23">
        <f>SUM(S11:S12)</f>
        <v>3.6188178528347409E-2</v>
      </c>
      <c r="T13" s="23">
        <f>SUM(T11:T12)</f>
        <v>7.3710073710073709E-2</v>
      </c>
      <c r="U13" s="11"/>
      <c r="W13" s="2"/>
    </row>
    <row r="14" spans="1:31" ht="16" customHeight="1" x14ac:dyDescent="0.2">
      <c r="A14" s="63" t="s">
        <v>43</v>
      </c>
      <c r="B14" s="63"/>
      <c r="C14" s="63"/>
      <c r="D14" s="63"/>
      <c r="E14" s="63"/>
      <c r="G14" s="6" t="s">
        <v>8</v>
      </c>
      <c r="H14" s="6">
        <f>SUM(H6:H12)</f>
        <v>100125</v>
      </c>
      <c r="I14" s="6">
        <f>SUM(I6:I12)</f>
        <v>97975</v>
      </c>
      <c r="J14" s="7">
        <f>I14/H14-1</f>
        <v>-2.1473158551810201E-2</v>
      </c>
      <c r="L14" s="6" t="s">
        <v>8</v>
      </c>
      <c r="M14" s="22">
        <f>SUM(M6:M12)</f>
        <v>1</v>
      </c>
      <c r="N14" s="6">
        <f>SUM(N6:N12)</f>
        <v>20005</v>
      </c>
      <c r="O14" s="22">
        <f>SUM(O6:O12)</f>
        <v>1</v>
      </c>
      <c r="P14" s="6">
        <f>SUM(P6:P12)</f>
        <v>20004</v>
      </c>
      <c r="R14" s="6" t="s">
        <v>8</v>
      </c>
      <c r="S14" s="22">
        <f>SUM(S6:S12)</f>
        <v>0.99999999999999989</v>
      </c>
      <c r="T14" s="22">
        <f>SUM(T6:T12)</f>
        <v>1</v>
      </c>
      <c r="U14" s="6"/>
      <c r="W14" s="2"/>
    </row>
    <row r="15" spans="1:31" x14ac:dyDescent="0.2">
      <c r="A15" s="63"/>
      <c r="B15" s="63"/>
      <c r="C15" s="63"/>
      <c r="D15" s="63"/>
      <c r="E15" s="63"/>
      <c r="L15" s="2"/>
    </row>
    <row r="16" spans="1:31" ht="16" customHeight="1" x14ac:dyDescent="0.2">
      <c r="A16" s="63"/>
      <c r="B16" s="63"/>
      <c r="C16" s="63"/>
      <c r="D16" s="63"/>
      <c r="E16" s="63"/>
      <c r="G16" s="63" t="s">
        <v>42</v>
      </c>
      <c r="H16" s="63"/>
      <c r="I16" s="63"/>
      <c r="J16" s="63"/>
      <c r="L16" s="63" t="s">
        <v>26</v>
      </c>
      <c r="M16" s="63"/>
      <c r="N16" s="63"/>
      <c r="O16" s="63"/>
      <c r="P16" s="63"/>
      <c r="R16" s="63" t="s">
        <v>41</v>
      </c>
      <c r="S16" s="63"/>
      <c r="T16" s="63"/>
      <c r="U16" s="63"/>
      <c r="W16" s="62" t="s">
        <v>44</v>
      </c>
      <c r="X16" s="62"/>
      <c r="Y16" s="62"/>
      <c r="Z16" s="62"/>
      <c r="AB16" s="63" t="s">
        <v>45</v>
      </c>
      <c r="AC16" s="63"/>
      <c r="AD16" s="63"/>
      <c r="AE16" s="63"/>
    </row>
    <row r="17" spans="7:31" x14ac:dyDescent="0.2">
      <c r="G17" s="63"/>
      <c r="H17" s="63"/>
      <c r="I17" s="63"/>
      <c r="J17" s="63"/>
      <c r="L17" s="63"/>
      <c r="M17" s="63"/>
      <c r="N17" s="63"/>
      <c r="O17" s="63"/>
      <c r="P17" s="63"/>
      <c r="R17" s="63"/>
      <c r="S17" s="63"/>
      <c r="T17" s="63"/>
      <c r="U17" s="63"/>
      <c r="W17" s="62"/>
      <c r="X17" s="62"/>
      <c r="Y17" s="62"/>
      <c r="Z17" s="62"/>
      <c r="AB17" s="63"/>
      <c r="AC17" s="63"/>
      <c r="AD17" s="63"/>
      <c r="AE17" s="63"/>
    </row>
    <row r="18" spans="7:31" x14ac:dyDescent="0.2">
      <c r="G18" s="63"/>
      <c r="H18" s="63"/>
      <c r="I18" s="63"/>
      <c r="J18" s="63"/>
      <c r="R18" s="63"/>
      <c r="S18" s="63"/>
      <c r="T18" s="63"/>
      <c r="U18" s="63"/>
      <c r="W18" s="62"/>
      <c r="X18" s="62"/>
      <c r="Y18" s="62"/>
      <c r="Z18" s="62"/>
      <c r="AB18" s="63"/>
      <c r="AC18" s="63"/>
      <c r="AD18" s="63"/>
      <c r="AE18" s="63"/>
    </row>
    <row r="19" spans="7:31" x14ac:dyDescent="0.2">
      <c r="G19" s="39"/>
      <c r="H19" s="39"/>
      <c r="I19" s="39"/>
      <c r="J19" s="39"/>
      <c r="R19" s="63"/>
      <c r="S19" s="63"/>
      <c r="T19" s="63"/>
      <c r="U19" s="63"/>
      <c r="W19" s="31"/>
      <c r="X19" s="31"/>
      <c r="Y19" s="31"/>
      <c r="Z19" s="31"/>
      <c r="AB19" s="63"/>
      <c r="AC19" s="63"/>
      <c r="AD19" s="63"/>
      <c r="AE19" s="63"/>
    </row>
    <row r="20" spans="7:31" x14ac:dyDescent="0.2">
      <c r="AB20" s="63"/>
      <c r="AC20" s="63"/>
      <c r="AD20" s="63"/>
      <c r="AE20" s="63"/>
    </row>
    <row r="24" spans="7:31" x14ac:dyDescent="0.2">
      <c r="S24" s="1"/>
      <c r="T24" s="1"/>
    </row>
  </sheetData>
  <mergeCells count="12">
    <mergeCell ref="W4:Z4"/>
    <mergeCell ref="AB4:AE4"/>
    <mergeCell ref="A14:E16"/>
    <mergeCell ref="A4:E4"/>
    <mergeCell ref="G4:J4"/>
    <mergeCell ref="L4:P4"/>
    <mergeCell ref="R4:U4"/>
    <mergeCell ref="AB16:AE20"/>
    <mergeCell ref="L16:P17"/>
    <mergeCell ref="R16:U19"/>
    <mergeCell ref="W16:Z18"/>
    <mergeCell ref="G16:J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9"/>
  <sheetViews>
    <sheetView workbookViewId="0">
      <selection activeCell="B6" sqref="B6"/>
    </sheetView>
  </sheetViews>
  <sheetFormatPr baseColWidth="10" defaultRowHeight="16" x14ac:dyDescent="0.2"/>
  <cols>
    <col min="1" max="1" width="12.5" bestFit="1" customWidth="1"/>
    <col min="2" max="2" width="14.5" bestFit="1" customWidth="1"/>
    <col min="3" max="3" width="10.33203125" bestFit="1" customWidth="1"/>
    <col min="4" max="4" width="16.5" bestFit="1" customWidth="1"/>
    <col min="5" max="5" width="16.5" customWidth="1"/>
    <col min="7" max="7" width="12.5" bestFit="1" customWidth="1"/>
    <col min="8" max="8" width="14.1640625" bestFit="1" customWidth="1"/>
    <col min="9" max="9" width="11.1640625" bestFit="1" customWidth="1"/>
    <col min="10" max="10" width="14.1640625" bestFit="1" customWidth="1"/>
    <col min="11" max="11" width="11.1640625" bestFit="1" customWidth="1"/>
    <col min="12" max="12" width="12.5" bestFit="1" customWidth="1"/>
    <col min="14" max="15" width="12.33203125" bestFit="1" customWidth="1"/>
    <col min="16" max="16" width="18.6640625" bestFit="1" customWidth="1"/>
    <col min="18" max="18" width="12.5" bestFit="1" customWidth="1"/>
    <col min="19" max="20" width="12.33203125" bestFit="1" customWidth="1"/>
    <col min="21" max="21" width="18.6640625" bestFit="1" customWidth="1"/>
    <col min="23" max="23" width="12.5" bestFit="1" customWidth="1"/>
    <col min="24" max="25" width="8.1640625" bestFit="1" customWidth="1"/>
    <col min="26" max="26" width="18.6640625" bestFit="1" customWidth="1"/>
    <col min="28" max="28" width="12.5" bestFit="1" customWidth="1"/>
    <col min="29" max="30" width="8.1640625" bestFit="1" customWidth="1"/>
    <col min="31" max="31" width="18.6640625" bestFit="1" customWidth="1"/>
  </cols>
  <sheetData>
    <row r="1" spans="1:31" x14ac:dyDescent="0.2">
      <c r="A1" s="44" t="s">
        <v>94</v>
      </c>
    </row>
    <row r="4" spans="1:31" x14ac:dyDescent="0.2">
      <c r="A4" s="61" t="s">
        <v>20</v>
      </c>
      <c r="B4" s="61"/>
      <c r="C4" s="61"/>
      <c r="D4" s="61"/>
      <c r="E4" s="61"/>
      <c r="G4" s="61" t="s">
        <v>5</v>
      </c>
      <c r="H4" s="61"/>
      <c r="I4" s="61"/>
      <c r="J4" s="61"/>
      <c r="L4" s="61" t="s">
        <v>11</v>
      </c>
      <c r="M4" s="61"/>
      <c r="N4" s="61"/>
      <c r="O4" s="61"/>
      <c r="P4" s="61"/>
      <c r="R4" s="61" t="s">
        <v>12</v>
      </c>
      <c r="S4" s="61"/>
      <c r="T4" s="61"/>
      <c r="U4" s="61"/>
      <c r="W4" s="61" t="s">
        <v>17</v>
      </c>
      <c r="X4" s="61"/>
      <c r="Y4" s="61"/>
      <c r="Z4" s="61"/>
      <c r="AB4" s="61" t="s">
        <v>37</v>
      </c>
      <c r="AC4" s="61"/>
      <c r="AD4" s="61"/>
      <c r="AE4" s="61"/>
    </row>
    <row r="5" spans="1:31" x14ac:dyDescent="0.2">
      <c r="A5" s="4" t="s">
        <v>10</v>
      </c>
      <c r="B5" s="5" t="s">
        <v>2</v>
      </c>
      <c r="C5" s="5" t="s">
        <v>21</v>
      </c>
      <c r="D5" s="5" t="s">
        <v>22</v>
      </c>
      <c r="E5" s="5" t="s">
        <v>23</v>
      </c>
      <c r="G5" s="18" t="s">
        <v>10</v>
      </c>
      <c r="H5" s="18" t="s">
        <v>6</v>
      </c>
      <c r="I5" s="18" t="s">
        <v>7</v>
      </c>
      <c r="J5" s="18" t="s">
        <v>2</v>
      </c>
      <c r="L5" s="18" t="s">
        <v>10</v>
      </c>
      <c r="M5" s="21" t="s">
        <v>27</v>
      </c>
      <c r="N5" s="6" t="s">
        <v>13</v>
      </c>
      <c r="O5" s="21" t="s">
        <v>28</v>
      </c>
      <c r="P5" s="6" t="s">
        <v>15</v>
      </c>
      <c r="R5" s="18" t="s">
        <v>10</v>
      </c>
      <c r="S5" s="6" t="s">
        <v>16</v>
      </c>
      <c r="T5" s="6" t="s">
        <v>14</v>
      </c>
      <c r="U5" s="6" t="s">
        <v>3</v>
      </c>
      <c r="W5" s="18" t="s">
        <v>10</v>
      </c>
      <c r="X5" s="6" t="s">
        <v>18</v>
      </c>
      <c r="Y5" s="26" t="s">
        <v>19</v>
      </c>
      <c r="Z5" s="6" t="s">
        <v>3</v>
      </c>
      <c r="AB5" s="18" t="s">
        <v>10</v>
      </c>
      <c r="AC5" s="6" t="s">
        <v>18</v>
      </c>
      <c r="AD5" s="26" t="s">
        <v>19</v>
      </c>
      <c r="AE5" s="6" t="s">
        <v>3</v>
      </c>
    </row>
    <row r="6" spans="1:31" x14ac:dyDescent="0.2">
      <c r="A6" s="6" t="s">
        <v>36</v>
      </c>
      <c r="B6" s="9">
        <f t="shared" ref="B6:B12" si="0">J6</f>
        <v>-9.9999999999999978E-2</v>
      </c>
      <c r="C6" s="42" t="s">
        <v>4</v>
      </c>
      <c r="D6" s="42" t="s">
        <v>4</v>
      </c>
      <c r="E6" s="42" t="s">
        <v>4</v>
      </c>
      <c r="G6" s="6" t="s">
        <v>36</v>
      </c>
      <c r="H6" s="6">
        <v>96000</v>
      </c>
      <c r="I6" s="6">
        <f>ROUND(H6*0.9,0)</f>
        <v>86400</v>
      </c>
      <c r="J6" s="7">
        <f>I6/H6-1</f>
        <v>-9.9999999999999978E-2</v>
      </c>
      <c r="L6" s="6" t="s">
        <v>36</v>
      </c>
      <c r="M6" s="22">
        <f t="shared" ref="M6:M12" si="1">H6/SUM(H$6:H$12)</f>
        <v>0.96</v>
      </c>
      <c r="N6" s="6">
        <f>ROUND(20000*M6,0)</f>
        <v>19200</v>
      </c>
      <c r="O6" s="22">
        <f t="shared" ref="O6:O12" si="2">I6/SUM(I$6:I$12)</f>
        <v>0.95575221238938057</v>
      </c>
      <c r="P6" s="6">
        <f>ROUND(20000*O6,0)</f>
        <v>19115</v>
      </c>
      <c r="R6" s="6" t="s">
        <v>36</v>
      </c>
      <c r="S6" s="22">
        <v>0</v>
      </c>
      <c r="T6" s="22">
        <v>0</v>
      </c>
      <c r="U6" s="8" t="e">
        <f t="shared" ref="U6:U12" si="3">T6/S6-1</f>
        <v>#DIV/0!</v>
      </c>
      <c r="W6" s="6" t="s">
        <v>36</v>
      </c>
      <c r="X6" s="26">
        <f t="shared" ref="X6:X12" si="4">S6/$S$11</f>
        <v>0</v>
      </c>
      <c r="Y6" s="26">
        <f t="shared" ref="Y6:Y12" si="5">T6/$T$11</f>
        <v>0</v>
      </c>
      <c r="Z6" s="8" t="e">
        <f t="shared" ref="Z6:Z12" si="6">Y6/X6-1</f>
        <v>#DIV/0!</v>
      </c>
      <c r="AB6" s="6" t="s">
        <v>36</v>
      </c>
      <c r="AC6" s="26">
        <f>S6/$S$12</f>
        <v>0</v>
      </c>
      <c r="AD6" s="26">
        <f>T6/$T$12</f>
        <v>0</v>
      </c>
      <c r="AE6" s="8" t="e">
        <f t="shared" ref="AE6:AE12" si="7">AD6/AC6-1</f>
        <v>#DIV/0!</v>
      </c>
    </row>
    <row r="7" spans="1:31" x14ac:dyDescent="0.2">
      <c r="A7" s="6" t="s">
        <v>32</v>
      </c>
      <c r="B7" s="36">
        <f t="shared" si="0"/>
        <v>0</v>
      </c>
      <c r="C7" s="10">
        <f t="shared" ref="C7:C12" si="8">U7</f>
        <v>4.9075081610445714E-3</v>
      </c>
      <c r="D7" s="34">
        <f t="shared" ref="D7:D12" si="9">Z7</f>
        <v>0.10599999999999987</v>
      </c>
      <c r="E7" s="34">
        <f t="shared" ref="E7:E12" si="10">AE7</f>
        <v>0.10600000000000009</v>
      </c>
      <c r="G7" s="6" t="s">
        <v>32</v>
      </c>
      <c r="H7" s="6">
        <v>2500</v>
      </c>
      <c r="I7" s="6">
        <f t="shared" ref="I7:I9" si="11">H7</f>
        <v>2500</v>
      </c>
      <c r="J7" s="7">
        <f>I7/H7-1</f>
        <v>0</v>
      </c>
      <c r="L7" s="6" t="s">
        <v>32</v>
      </c>
      <c r="M7" s="22">
        <f t="shared" si="1"/>
        <v>2.5000000000000001E-2</v>
      </c>
      <c r="N7" s="6">
        <f>ROUND(20000*M7,0)</f>
        <v>500</v>
      </c>
      <c r="O7" s="22">
        <f t="shared" si="2"/>
        <v>2.7654867256637169E-2</v>
      </c>
      <c r="P7" s="6">
        <f>ROUND(20000*O7,0)</f>
        <v>553</v>
      </c>
      <c r="R7" s="6" t="s">
        <v>32</v>
      </c>
      <c r="S7" s="22">
        <f t="shared" ref="S7:S12" si="12">N7/SUM(N$7:N$12)</f>
        <v>0.59880239520958078</v>
      </c>
      <c r="T7" s="22">
        <f t="shared" ref="T7:T12" si="13">P7/SUM(P$7:P$12)</f>
        <v>0.6017410228509249</v>
      </c>
      <c r="U7" s="8">
        <f t="shared" si="3"/>
        <v>4.9075081610445714E-3</v>
      </c>
      <c r="W7" s="6" t="s">
        <v>32</v>
      </c>
      <c r="X7" s="26">
        <f t="shared" si="4"/>
        <v>16.666666666666664</v>
      </c>
      <c r="Y7" s="26">
        <f t="shared" si="5"/>
        <v>18.43333333333333</v>
      </c>
      <c r="Z7" s="8">
        <f t="shared" si="6"/>
        <v>0.10599999999999987</v>
      </c>
      <c r="AB7" s="6" t="s">
        <v>32</v>
      </c>
      <c r="AC7" s="26">
        <f t="shared" ref="AC7:AC12" si="14">S7/$S$12</f>
        <v>99.999999999999986</v>
      </c>
      <c r="AD7" s="26">
        <f t="shared" ref="AD7:AD12" si="15">T7/$T$12</f>
        <v>110.6</v>
      </c>
      <c r="AE7" s="8">
        <f t="shared" si="7"/>
        <v>0.10600000000000009</v>
      </c>
    </row>
    <row r="8" spans="1:31" x14ac:dyDescent="0.2">
      <c r="A8" s="6" t="s">
        <v>33</v>
      </c>
      <c r="B8" s="36">
        <f t="shared" si="0"/>
        <v>0</v>
      </c>
      <c r="C8" s="10">
        <f t="shared" si="8"/>
        <v>3.9989118607182128E-3</v>
      </c>
      <c r="D8" s="34">
        <f t="shared" si="9"/>
        <v>0.10499999999999998</v>
      </c>
      <c r="E8" s="34">
        <f t="shared" si="10"/>
        <v>0.10499999999999998</v>
      </c>
      <c r="G8" s="6" t="s">
        <v>33</v>
      </c>
      <c r="H8" s="6">
        <v>1000</v>
      </c>
      <c r="I8" s="6">
        <f t="shared" si="11"/>
        <v>1000</v>
      </c>
      <c r="J8" s="7">
        <f>I8/H8-1</f>
        <v>0</v>
      </c>
      <c r="L8" s="6" t="s">
        <v>33</v>
      </c>
      <c r="M8" s="22">
        <f t="shared" si="1"/>
        <v>0.01</v>
      </c>
      <c r="N8" s="6">
        <f>ROUND(20000*M8,0)</f>
        <v>200</v>
      </c>
      <c r="O8" s="22">
        <f t="shared" si="2"/>
        <v>1.1061946902654867E-2</v>
      </c>
      <c r="P8" s="6">
        <f>ROUND(20000*O8,0)</f>
        <v>221</v>
      </c>
      <c r="R8" s="6" t="s">
        <v>33</v>
      </c>
      <c r="S8" s="22">
        <f t="shared" si="12"/>
        <v>0.23952095808383234</v>
      </c>
      <c r="T8" s="22">
        <f t="shared" si="13"/>
        <v>0.24047878128400435</v>
      </c>
      <c r="U8" s="8">
        <f t="shared" si="3"/>
        <v>3.9989118607182128E-3</v>
      </c>
      <c r="W8" s="6" t="s">
        <v>33</v>
      </c>
      <c r="X8" s="26">
        <f t="shared" si="4"/>
        <v>6.666666666666667</v>
      </c>
      <c r="Y8" s="26">
        <f t="shared" si="5"/>
        <v>7.3666666666666663</v>
      </c>
      <c r="Z8" s="8">
        <f t="shared" si="6"/>
        <v>0.10499999999999998</v>
      </c>
      <c r="AB8" s="6" t="s">
        <v>33</v>
      </c>
      <c r="AC8" s="26">
        <f t="shared" si="14"/>
        <v>40</v>
      </c>
      <c r="AD8" s="26">
        <f t="shared" si="15"/>
        <v>44.199999999999996</v>
      </c>
      <c r="AE8" s="8">
        <f t="shared" si="7"/>
        <v>0.10499999999999998</v>
      </c>
    </row>
    <row r="9" spans="1:31" x14ac:dyDescent="0.2">
      <c r="A9" s="6" t="s">
        <v>34</v>
      </c>
      <c r="B9" s="36">
        <f t="shared" si="0"/>
        <v>0</v>
      </c>
      <c r="C9" s="10">
        <f t="shared" si="8"/>
        <v>-5.4406964091413546E-4</v>
      </c>
      <c r="D9" s="34">
        <f t="shared" si="9"/>
        <v>9.9999999999999867E-2</v>
      </c>
      <c r="E9" s="34">
        <f t="shared" si="10"/>
        <v>9.9999999999999867E-2</v>
      </c>
      <c r="G9" s="6" t="s">
        <v>34</v>
      </c>
      <c r="H9" s="6">
        <v>400</v>
      </c>
      <c r="I9" s="6">
        <f t="shared" si="11"/>
        <v>400</v>
      </c>
      <c r="J9" s="7">
        <f>I9/H9-1</f>
        <v>0</v>
      </c>
      <c r="L9" s="6" t="s">
        <v>34</v>
      </c>
      <c r="M9" s="22">
        <f t="shared" si="1"/>
        <v>4.0000000000000001E-3</v>
      </c>
      <c r="N9" s="6">
        <f>ROUND(20000*M9,0)</f>
        <v>80</v>
      </c>
      <c r="O9" s="22">
        <f t="shared" si="2"/>
        <v>4.4247787610619468E-3</v>
      </c>
      <c r="P9" s="6">
        <f>ROUND(20000*O9,0)</f>
        <v>88</v>
      </c>
      <c r="R9" s="6" t="s">
        <v>34</v>
      </c>
      <c r="S9" s="22">
        <f t="shared" si="12"/>
        <v>9.580838323353294E-2</v>
      </c>
      <c r="T9" s="22">
        <f t="shared" si="13"/>
        <v>9.5756256800870507E-2</v>
      </c>
      <c r="U9" s="8">
        <f t="shared" si="3"/>
        <v>-5.4406964091413546E-4</v>
      </c>
      <c r="W9" s="6" t="s">
        <v>34</v>
      </c>
      <c r="X9" s="26">
        <f t="shared" si="4"/>
        <v>2.666666666666667</v>
      </c>
      <c r="Y9" s="26">
        <f t="shared" si="5"/>
        <v>2.9333333333333331</v>
      </c>
      <c r="Z9" s="8">
        <f t="shared" si="6"/>
        <v>9.9999999999999867E-2</v>
      </c>
      <c r="AB9" s="6" t="s">
        <v>34</v>
      </c>
      <c r="AC9" s="26">
        <f t="shared" si="14"/>
        <v>16</v>
      </c>
      <c r="AD9" s="26">
        <f t="shared" si="15"/>
        <v>17.599999999999998</v>
      </c>
      <c r="AE9" s="8">
        <f t="shared" si="7"/>
        <v>9.9999999999999867E-2</v>
      </c>
    </row>
    <row r="10" spans="1:31" ht="17" thickBot="1" x14ac:dyDescent="0.25">
      <c r="A10" s="14" t="s">
        <v>35</v>
      </c>
      <c r="B10" s="37">
        <f t="shared" si="0"/>
        <v>0</v>
      </c>
      <c r="C10" s="17">
        <f t="shared" si="8"/>
        <v>-5.4406964091413546E-4</v>
      </c>
      <c r="D10" s="35">
        <f t="shared" si="9"/>
        <v>9.9999999999999867E-2</v>
      </c>
      <c r="E10" s="35">
        <f t="shared" si="10"/>
        <v>9.9999999999999867E-2</v>
      </c>
      <c r="G10" s="14" t="s">
        <v>35</v>
      </c>
      <c r="H10" s="14">
        <v>100</v>
      </c>
      <c r="I10" s="32">
        <f t="shared" ref="I10" si="16">H10</f>
        <v>100</v>
      </c>
      <c r="J10" s="20">
        <f>I10/H10-1</f>
        <v>0</v>
      </c>
      <c r="L10" s="14" t="s">
        <v>35</v>
      </c>
      <c r="M10" s="24">
        <f t="shared" si="1"/>
        <v>1E-3</v>
      </c>
      <c r="N10" s="14">
        <f>ROUND(20000*M10,0)</f>
        <v>20</v>
      </c>
      <c r="O10" s="24">
        <f t="shared" si="2"/>
        <v>1.1061946902654867E-3</v>
      </c>
      <c r="P10" s="14">
        <f>ROUND(20000*O10,0)</f>
        <v>22</v>
      </c>
      <c r="R10" s="14" t="s">
        <v>35</v>
      </c>
      <c r="S10" s="24">
        <f t="shared" si="12"/>
        <v>2.3952095808383235E-2</v>
      </c>
      <c r="T10" s="24">
        <f t="shared" si="13"/>
        <v>2.3939064200217627E-2</v>
      </c>
      <c r="U10" s="16">
        <f t="shared" si="3"/>
        <v>-5.4406964091413546E-4</v>
      </c>
      <c r="W10" s="14" t="s">
        <v>35</v>
      </c>
      <c r="X10" s="28">
        <f t="shared" si="4"/>
        <v>0.66666666666666674</v>
      </c>
      <c r="Y10" s="28">
        <f t="shared" si="5"/>
        <v>0.73333333333333328</v>
      </c>
      <c r="Z10" s="16">
        <f t="shared" si="6"/>
        <v>9.9999999999999867E-2</v>
      </c>
      <c r="AB10" s="14" t="s">
        <v>35</v>
      </c>
      <c r="AC10" s="28">
        <f t="shared" si="14"/>
        <v>4</v>
      </c>
      <c r="AD10" s="28">
        <f t="shared" si="15"/>
        <v>4.3999999999999995</v>
      </c>
      <c r="AE10" s="16">
        <f t="shared" si="7"/>
        <v>9.9999999999999867E-2</v>
      </c>
    </row>
    <row r="11" spans="1:31" ht="17" thickTop="1" x14ac:dyDescent="0.2">
      <c r="A11" s="11" t="s">
        <v>0</v>
      </c>
      <c r="B11" s="38">
        <f t="shared" si="0"/>
        <v>0</v>
      </c>
      <c r="C11" s="33">
        <f t="shared" si="8"/>
        <v>-9.1403699673558103E-2</v>
      </c>
      <c r="D11" s="13">
        <f t="shared" si="9"/>
        <v>0</v>
      </c>
      <c r="E11" s="13">
        <f t="shared" si="10"/>
        <v>0</v>
      </c>
      <c r="G11" s="11" t="s">
        <v>0</v>
      </c>
      <c r="H11" s="11">
        <v>0</v>
      </c>
      <c r="I11" s="11">
        <v>0</v>
      </c>
      <c r="J11" s="12">
        <v>0</v>
      </c>
      <c r="L11" s="11" t="s">
        <v>0</v>
      </c>
      <c r="M11" s="23">
        <f t="shared" si="1"/>
        <v>0</v>
      </c>
      <c r="N11" s="25">
        <v>30</v>
      </c>
      <c r="O11" s="23">
        <f t="shared" si="2"/>
        <v>0</v>
      </c>
      <c r="P11" s="25">
        <f>N11</f>
        <v>30</v>
      </c>
      <c r="R11" s="11" t="s">
        <v>0</v>
      </c>
      <c r="S11" s="23">
        <f t="shared" si="12"/>
        <v>3.5928143712574849E-2</v>
      </c>
      <c r="T11" s="23">
        <f t="shared" si="13"/>
        <v>3.2644178454842222E-2</v>
      </c>
      <c r="U11" s="13">
        <f t="shared" si="3"/>
        <v>-9.1403699673558103E-2</v>
      </c>
      <c r="W11" s="11" t="s">
        <v>0</v>
      </c>
      <c r="X11" s="27">
        <f t="shared" si="4"/>
        <v>1</v>
      </c>
      <c r="Y11" s="27">
        <f t="shared" si="5"/>
        <v>1</v>
      </c>
      <c r="Z11" s="13">
        <f t="shared" si="6"/>
        <v>0</v>
      </c>
      <c r="AB11" s="11" t="s">
        <v>0</v>
      </c>
      <c r="AC11" s="27">
        <f t="shared" si="14"/>
        <v>5.9999999999999991</v>
      </c>
      <c r="AD11" s="27">
        <f t="shared" si="15"/>
        <v>6</v>
      </c>
      <c r="AE11" s="13">
        <f t="shared" si="7"/>
        <v>0</v>
      </c>
    </row>
    <row r="12" spans="1:31" ht="17" thickBot="1" x14ac:dyDescent="0.25">
      <c r="A12" s="6" t="s">
        <v>1</v>
      </c>
      <c r="B12" s="36">
        <f t="shared" si="0"/>
        <v>0</v>
      </c>
      <c r="C12" s="10">
        <f t="shared" si="8"/>
        <v>-9.1403699673558214E-2</v>
      </c>
      <c r="D12" s="8">
        <f t="shared" si="9"/>
        <v>0</v>
      </c>
      <c r="E12" s="8">
        <f t="shared" si="10"/>
        <v>0</v>
      </c>
      <c r="G12" s="14" t="s">
        <v>1</v>
      </c>
      <c r="H12" s="30">
        <v>0</v>
      </c>
      <c r="I12" s="30">
        <v>0</v>
      </c>
      <c r="J12" s="20">
        <v>0</v>
      </c>
      <c r="L12" s="14" t="s">
        <v>1</v>
      </c>
      <c r="M12" s="24">
        <f t="shared" si="1"/>
        <v>0</v>
      </c>
      <c r="N12" s="19">
        <v>5</v>
      </c>
      <c r="O12" s="24">
        <f t="shared" si="2"/>
        <v>0</v>
      </c>
      <c r="P12" s="19">
        <v>5</v>
      </c>
      <c r="R12" s="14" t="s">
        <v>1</v>
      </c>
      <c r="S12" s="24">
        <f t="shared" si="12"/>
        <v>5.9880239520958087E-3</v>
      </c>
      <c r="T12" s="24">
        <f t="shared" si="13"/>
        <v>5.4406964091403701E-3</v>
      </c>
      <c r="U12" s="16">
        <f t="shared" si="3"/>
        <v>-9.1403699673558214E-2</v>
      </c>
      <c r="W12" s="6" t="s">
        <v>1</v>
      </c>
      <c r="X12" s="26">
        <f t="shared" si="4"/>
        <v>0.16666666666666669</v>
      </c>
      <c r="Y12" s="26">
        <f t="shared" si="5"/>
        <v>0.16666666666666666</v>
      </c>
      <c r="Z12" s="8">
        <f t="shared" si="6"/>
        <v>0</v>
      </c>
      <c r="AB12" s="6" t="s">
        <v>1</v>
      </c>
      <c r="AC12" s="26">
        <f t="shared" si="14"/>
        <v>1</v>
      </c>
      <c r="AD12" s="26">
        <f t="shared" si="15"/>
        <v>1</v>
      </c>
      <c r="AE12" s="8">
        <f t="shared" si="7"/>
        <v>0</v>
      </c>
    </row>
    <row r="13" spans="1:31" ht="17" thickTop="1" x14ac:dyDescent="0.2">
      <c r="G13" s="11" t="s">
        <v>9</v>
      </c>
      <c r="H13" s="11">
        <f>SUM(H7:H12)</f>
        <v>4000</v>
      </c>
      <c r="I13" s="11">
        <f>SUM(I7:I12)</f>
        <v>4000</v>
      </c>
      <c r="J13" s="12">
        <f>I13/H13-1</f>
        <v>0</v>
      </c>
      <c r="L13" s="11" t="s">
        <v>9</v>
      </c>
      <c r="M13" s="23">
        <f>SUM(M7:M12)</f>
        <v>4.0000000000000008E-2</v>
      </c>
      <c r="N13" s="11">
        <f>SUM(N7:N12)</f>
        <v>835</v>
      </c>
      <c r="O13" s="23">
        <f>SUM(O7:O12)</f>
        <v>4.4247787610619475E-2</v>
      </c>
      <c r="P13" s="11">
        <f>SUM(P7:P12)</f>
        <v>919</v>
      </c>
      <c r="R13" s="11" t="s">
        <v>39</v>
      </c>
      <c r="S13" s="23">
        <f>SUM(S11:S12)</f>
        <v>4.1916167664670656E-2</v>
      </c>
      <c r="T13" s="23">
        <f>SUM(T11:T12)</f>
        <v>3.8084874863982592E-2</v>
      </c>
      <c r="U13" s="11"/>
      <c r="W13" s="2"/>
    </row>
    <row r="14" spans="1:31" x14ac:dyDescent="0.2">
      <c r="A14" s="63" t="s">
        <v>47</v>
      </c>
      <c r="B14" s="63"/>
      <c r="C14" s="63"/>
      <c r="D14" s="63"/>
      <c r="E14" s="63"/>
      <c r="G14" s="6" t="s">
        <v>8</v>
      </c>
      <c r="H14" s="6">
        <f>SUM(H6:H12)</f>
        <v>100000</v>
      </c>
      <c r="I14" s="6">
        <f>SUM(I6:I12)</f>
        <v>90400</v>
      </c>
      <c r="J14" s="7">
        <f>I14/H14-1</f>
        <v>-9.5999999999999974E-2</v>
      </c>
      <c r="L14" s="6" t="s">
        <v>8</v>
      </c>
      <c r="M14" s="22">
        <f>SUM(M6:M12)</f>
        <v>1</v>
      </c>
      <c r="N14" s="6">
        <f>SUM(N6:N12)</f>
        <v>20035</v>
      </c>
      <c r="O14" s="22">
        <f>SUM(O6:O12)</f>
        <v>1</v>
      </c>
      <c r="P14" s="6">
        <f>SUM(P6:P12)</f>
        <v>20034</v>
      </c>
      <c r="R14" s="6" t="s">
        <v>40</v>
      </c>
      <c r="S14" s="22">
        <f>SUM(S6:S12)</f>
        <v>0.99999999999999989</v>
      </c>
      <c r="T14" s="22">
        <f>SUM(T6:T12)</f>
        <v>1</v>
      </c>
      <c r="U14" s="6"/>
      <c r="W14" s="2"/>
    </row>
    <row r="15" spans="1:31" x14ac:dyDescent="0.2">
      <c r="A15" s="63"/>
      <c r="B15" s="63"/>
      <c r="C15" s="63"/>
      <c r="D15" s="63"/>
      <c r="E15" s="63"/>
      <c r="L15" s="2"/>
    </row>
    <row r="16" spans="1:31" ht="16" customHeight="1" x14ac:dyDescent="0.2">
      <c r="G16" s="63" t="s">
        <v>29</v>
      </c>
      <c r="H16" s="63"/>
      <c r="I16" s="63"/>
      <c r="J16" s="63"/>
      <c r="L16" s="63" t="s">
        <v>46</v>
      </c>
      <c r="M16" s="63"/>
      <c r="N16" s="63"/>
      <c r="O16" s="63"/>
      <c r="P16" s="63"/>
      <c r="R16" s="63" t="s">
        <v>38</v>
      </c>
      <c r="S16" s="63"/>
      <c r="T16" s="63"/>
      <c r="U16" s="63"/>
      <c r="W16" s="62" t="s">
        <v>30</v>
      </c>
      <c r="X16" s="62"/>
      <c r="Y16" s="62"/>
      <c r="Z16" s="62"/>
      <c r="AB16" s="63" t="s">
        <v>31</v>
      </c>
      <c r="AC16" s="63"/>
      <c r="AD16" s="63"/>
      <c r="AE16" s="63"/>
    </row>
    <row r="17" spans="7:31" x14ac:dyDescent="0.2">
      <c r="G17" s="63"/>
      <c r="H17" s="63"/>
      <c r="I17" s="63"/>
      <c r="J17" s="63"/>
      <c r="L17" s="63"/>
      <c r="M17" s="63"/>
      <c r="N17" s="63"/>
      <c r="O17" s="63"/>
      <c r="P17" s="63"/>
      <c r="R17" s="63"/>
      <c r="S17" s="63"/>
      <c r="T17" s="63"/>
      <c r="U17" s="63"/>
      <c r="W17" s="62"/>
      <c r="X17" s="62"/>
      <c r="Y17" s="62"/>
      <c r="Z17" s="62"/>
      <c r="AB17" s="63"/>
      <c r="AC17" s="63"/>
      <c r="AD17" s="63"/>
      <c r="AE17" s="63"/>
    </row>
    <row r="18" spans="7:31" x14ac:dyDescent="0.2">
      <c r="L18" s="63"/>
      <c r="M18" s="63"/>
      <c r="N18" s="63"/>
      <c r="O18" s="63"/>
      <c r="P18" s="63"/>
      <c r="R18" s="63"/>
      <c r="S18" s="63"/>
      <c r="T18" s="63"/>
      <c r="U18" s="63"/>
      <c r="W18" s="62"/>
      <c r="X18" s="62"/>
      <c r="Y18" s="62"/>
      <c r="Z18" s="62"/>
      <c r="AB18" s="63"/>
      <c r="AC18" s="63"/>
      <c r="AD18" s="63"/>
      <c r="AE18" s="63"/>
    </row>
    <row r="19" spans="7:31" x14ac:dyDescent="0.2">
      <c r="R19" s="63"/>
      <c r="S19" s="63"/>
      <c r="T19" s="63"/>
      <c r="U19" s="63"/>
      <c r="W19" s="31"/>
      <c r="X19" s="31"/>
      <c r="Y19" s="31"/>
      <c r="Z19" s="31"/>
      <c r="AB19" s="3"/>
      <c r="AC19" s="3"/>
      <c r="AD19" s="3"/>
      <c r="AE19" s="3"/>
    </row>
  </sheetData>
  <mergeCells count="12">
    <mergeCell ref="A14:E15"/>
    <mergeCell ref="G16:J17"/>
    <mergeCell ref="AB16:AE18"/>
    <mergeCell ref="R16:U19"/>
    <mergeCell ref="W16:Z18"/>
    <mergeCell ref="L16:P18"/>
    <mergeCell ref="AB4:AE4"/>
    <mergeCell ref="A4:E4"/>
    <mergeCell ref="G4:J4"/>
    <mergeCell ref="L4:P4"/>
    <mergeCell ref="R4:U4"/>
    <mergeCell ref="W4:Z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20"/>
  <sheetViews>
    <sheetView workbookViewId="0">
      <selection activeCell="A2" sqref="A2"/>
    </sheetView>
  </sheetViews>
  <sheetFormatPr baseColWidth="10" defaultRowHeight="16" x14ac:dyDescent="0.2"/>
  <cols>
    <col min="1" max="1" width="12.5" bestFit="1" customWidth="1"/>
    <col min="2" max="2" width="14.5" bestFit="1" customWidth="1"/>
    <col min="3" max="3" width="10.33203125" bestFit="1" customWidth="1"/>
    <col min="4" max="4" width="16.5" bestFit="1" customWidth="1"/>
    <col min="5" max="5" width="16.5" customWidth="1"/>
    <col min="7" max="7" width="12.5" bestFit="1" customWidth="1"/>
    <col min="8" max="8" width="14.1640625" bestFit="1" customWidth="1"/>
    <col min="9" max="9" width="11.1640625" bestFit="1" customWidth="1"/>
    <col min="10" max="10" width="14.1640625" bestFit="1" customWidth="1"/>
    <col min="11" max="11" width="11.1640625" bestFit="1" customWidth="1"/>
    <col min="12" max="12" width="12.5" bestFit="1" customWidth="1"/>
    <col min="13" max="13" width="19" bestFit="1" customWidth="1"/>
    <col min="14" max="14" width="7.83203125" bestFit="1" customWidth="1"/>
    <col min="15" max="15" width="17.5" bestFit="1" customWidth="1"/>
    <col min="16" max="16" width="7.83203125" bestFit="1" customWidth="1"/>
    <col min="18" max="18" width="12.5" bestFit="1" customWidth="1"/>
    <col min="19" max="20" width="12.33203125" bestFit="1" customWidth="1"/>
    <col min="21" max="21" width="18.6640625" bestFit="1" customWidth="1"/>
    <col min="23" max="23" width="12.5" bestFit="1" customWidth="1"/>
    <col min="24" max="25" width="8.1640625" bestFit="1" customWidth="1"/>
    <col min="26" max="26" width="18.6640625" bestFit="1" customWidth="1"/>
    <col min="28" max="28" width="12.5" bestFit="1" customWidth="1"/>
    <col min="29" max="30" width="8.1640625" bestFit="1" customWidth="1"/>
    <col min="31" max="31" width="18.6640625" bestFit="1" customWidth="1"/>
  </cols>
  <sheetData>
    <row r="1" spans="1:31" x14ac:dyDescent="0.2">
      <c r="A1" s="44" t="s">
        <v>93</v>
      </c>
    </row>
    <row r="4" spans="1:31" x14ac:dyDescent="0.2">
      <c r="A4" s="61" t="s">
        <v>20</v>
      </c>
      <c r="B4" s="61"/>
      <c r="C4" s="61"/>
      <c r="D4" s="61"/>
      <c r="E4" s="61"/>
      <c r="G4" s="61" t="s">
        <v>5</v>
      </c>
      <c r="H4" s="61"/>
      <c r="I4" s="61"/>
      <c r="J4" s="61"/>
      <c r="L4" s="61" t="s">
        <v>11</v>
      </c>
      <c r="M4" s="61"/>
      <c r="N4" s="61"/>
      <c r="O4" s="61"/>
      <c r="P4" s="61"/>
      <c r="R4" s="61" t="s">
        <v>12</v>
      </c>
      <c r="S4" s="61"/>
      <c r="T4" s="61"/>
      <c r="U4" s="61"/>
      <c r="W4" s="61" t="s">
        <v>17</v>
      </c>
      <c r="X4" s="61"/>
      <c r="Y4" s="61"/>
      <c r="Z4" s="61"/>
      <c r="AB4" s="61" t="s">
        <v>37</v>
      </c>
      <c r="AC4" s="61"/>
      <c r="AD4" s="61"/>
      <c r="AE4" s="61"/>
    </row>
    <row r="5" spans="1:31" x14ac:dyDescent="0.2">
      <c r="A5" s="4" t="s">
        <v>10</v>
      </c>
      <c r="B5" s="5" t="s">
        <v>2</v>
      </c>
      <c r="C5" s="5" t="s">
        <v>21</v>
      </c>
      <c r="D5" s="5" t="s">
        <v>22</v>
      </c>
      <c r="E5" s="5" t="s">
        <v>23</v>
      </c>
      <c r="G5" s="18" t="s">
        <v>10</v>
      </c>
      <c r="H5" s="18" t="s">
        <v>6</v>
      </c>
      <c r="I5" s="18" t="s">
        <v>7</v>
      </c>
      <c r="J5" s="18" t="s">
        <v>2</v>
      </c>
      <c r="L5" s="18" t="s">
        <v>10</v>
      </c>
      <c r="M5" s="21" t="s">
        <v>27</v>
      </c>
      <c r="N5" s="6" t="s">
        <v>13</v>
      </c>
      <c r="O5" s="21" t="s">
        <v>28</v>
      </c>
      <c r="P5" s="6" t="s">
        <v>15</v>
      </c>
      <c r="R5" s="18" t="s">
        <v>10</v>
      </c>
      <c r="S5" s="6" t="s">
        <v>16</v>
      </c>
      <c r="T5" s="6" t="s">
        <v>14</v>
      </c>
      <c r="U5" s="6" t="s">
        <v>3</v>
      </c>
      <c r="W5" s="18" t="s">
        <v>10</v>
      </c>
      <c r="X5" s="6" t="s">
        <v>18</v>
      </c>
      <c r="Y5" s="26" t="s">
        <v>19</v>
      </c>
      <c r="Z5" s="6" t="s">
        <v>3</v>
      </c>
      <c r="AB5" s="18" t="s">
        <v>10</v>
      </c>
      <c r="AC5" s="6" t="s">
        <v>18</v>
      </c>
      <c r="AD5" s="26" t="s">
        <v>19</v>
      </c>
      <c r="AE5" s="6" t="s">
        <v>3</v>
      </c>
    </row>
    <row r="6" spans="1:31" x14ac:dyDescent="0.2">
      <c r="A6" s="6" t="s">
        <v>36</v>
      </c>
      <c r="B6" s="9">
        <f t="shared" ref="B6:B12" si="0">J6</f>
        <v>-0.5</v>
      </c>
      <c r="C6" s="42" t="s">
        <v>4</v>
      </c>
      <c r="D6" s="42" t="s">
        <v>4</v>
      </c>
      <c r="E6" s="42" t="s">
        <v>4</v>
      </c>
      <c r="G6" s="6" t="s">
        <v>36</v>
      </c>
      <c r="H6" s="6">
        <v>96000</v>
      </c>
      <c r="I6" s="6">
        <f>ROUND(H6*0.5,0)</f>
        <v>48000</v>
      </c>
      <c r="J6" s="7">
        <f>I6/H6-1</f>
        <v>-0.5</v>
      </c>
      <c r="L6" s="6" t="s">
        <v>36</v>
      </c>
      <c r="M6" s="22">
        <f t="shared" ref="M6:M12" si="1">H6/SUM(H$6:H$12)</f>
        <v>0.95856215676485268</v>
      </c>
      <c r="N6" s="6">
        <f t="shared" ref="N6:N11" si="2">ROUND(20000*M6,0)</f>
        <v>19171</v>
      </c>
      <c r="O6" s="22">
        <f t="shared" ref="O6:O12" si="3">I6/SUM(I$6:I$12)</f>
        <v>0.95569935291189645</v>
      </c>
      <c r="P6" s="6">
        <f t="shared" ref="P6:P11" si="4">ROUND(20000*O6,0)</f>
        <v>19114</v>
      </c>
      <c r="R6" s="6" t="s">
        <v>36</v>
      </c>
      <c r="S6" s="22">
        <v>0</v>
      </c>
      <c r="T6" s="22">
        <v>0</v>
      </c>
      <c r="U6" s="8" t="e">
        <f t="shared" ref="U6:U12" si="5">T6/S6-1</f>
        <v>#DIV/0!</v>
      </c>
      <c r="W6" s="6" t="s">
        <v>36</v>
      </c>
      <c r="X6" s="26">
        <f t="shared" ref="X6:X12" si="6">S6/$S$11</f>
        <v>0</v>
      </c>
      <c r="Y6" s="26">
        <f t="shared" ref="Y6:Y12" si="7">T6/$T$11</f>
        <v>0</v>
      </c>
      <c r="Z6" s="8" t="e">
        <f t="shared" ref="Z6:Z12" si="8">Y6/X6-1</f>
        <v>#DIV/0!</v>
      </c>
      <c r="AB6" s="6" t="s">
        <v>36</v>
      </c>
      <c r="AC6" s="26">
        <f>S6/$S$12</f>
        <v>0</v>
      </c>
      <c r="AD6" s="26">
        <f>T6/$T$12</f>
        <v>0</v>
      </c>
      <c r="AE6" s="8" t="e">
        <f t="shared" ref="AE6:AE12" si="9">AD6/AC6-1</f>
        <v>#DIV/0!</v>
      </c>
    </row>
    <row r="7" spans="1:31" x14ac:dyDescent="0.2">
      <c r="A7" s="6" t="s">
        <v>32</v>
      </c>
      <c r="B7" s="9">
        <f t="shared" si="0"/>
        <v>-0.75</v>
      </c>
      <c r="C7" s="8">
        <f t="shared" ref="C7:C12" si="10">U7</f>
        <v>-0.53344806204336936</v>
      </c>
      <c r="D7" s="10">
        <f t="shared" ref="D7:D12" si="11">Z7</f>
        <v>-0.75050100200400816</v>
      </c>
      <c r="E7" s="34">
        <f t="shared" ref="E7:E12" si="12">AE7</f>
        <v>-0.50100200400801609</v>
      </c>
      <c r="G7" s="6" t="s">
        <v>32</v>
      </c>
      <c r="H7" s="6">
        <v>2500</v>
      </c>
      <c r="I7" s="6">
        <f>ROUND(H7*0.25,0)</f>
        <v>625</v>
      </c>
      <c r="J7" s="7">
        <f>I7/H7-1</f>
        <v>-0.75</v>
      </c>
      <c r="L7" s="6" t="s">
        <v>32</v>
      </c>
      <c r="M7" s="22">
        <f t="shared" si="1"/>
        <v>2.4962556165751371E-2</v>
      </c>
      <c r="N7" s="6">
        <f t="shared" si="2"/>
        <v>499</v>
      </c>
      <c r="O7" s="22">
        <f t="shared" si="3"/>
        <v>1.2444001991040319E-2</v>
      </c>
      <c r="P7" s="6">
        <f t="shared" si="4"/>
        <v>249</v>
      </c>
      <c r="R7" s="6" t="s">
        <v>32</v>
      </c>
      <c r="S7" s="22">
        <f t="shared" ref="S7:S12" si="13">N7/SUM(N$7:N$12)</f>
        <v>0.59832134292565953</v>
      </c>
      <c r="T7" s="22">
        <f t="shared" ref="T7:T12" si="14">P7/SUM(P$7:P$12)</f>
        <v>0.27914798206278024</v>
      </c>
      <c r="U7" s="8">
        <f t="shared" si="5"/>
        <v>-0.53344806204336936</v>
      </c>
      <c r="W7" s="6" t="s">
        <v>32</v>
      </c>
      <c r="X7" s="26">
        <f t="shared" si="6"/>
        <v>16.633333333333336</v>
      </c>
      <c r="Y7" s="26">
        <f t="shared" si="7"/>
        <v>4.1499999999999995</v>
      </c>
      <c r="Z7" s="8">
        <f t="shared" si="8"/>
        <v>-0.75050100200400816</v>
      </c>
      <c r="AB7" s="6" t="s">
        <v>32</v>
      </c>
      <c r="AC7" s="26">
        <f t="shared" ref="AC7:AC12" si="15">S7/$S$12</f>
        <v>99.800000000000011</v>
      </c>
      <c r="AD7" s="26">
        <f t="shared" ref="AD7:AD12" si="16">T7/$T$12</f>
        <v>49.8</v>
      </c>
      <c r="AE7" s="8">
        <f t="shared" si="9"/>
        <v>-0.50100200400801609</v>
      </c>
    </row>
    <row r="8" spans="1:31" x14ac:dyDescent="0.2">
      <c r="A8" s="6" t="s">
        <v>33</v>
      </c>
      <c r="B8" s="9">
        <f t="shared" si="0"/>
        <v>-0.25</v>
      </c>
      <c r="C8" s="8">
        <f t="shared" si="10"/>
        <v>0.3977914798206279</v>
      </c>
      <c r="D8" s="10">
        <f t="shared" si="11"/>
        <v>-0.25250000000000006</v>
      </c>
      <c r="E8" s="34">
        <f t="shared" si="12"/>
        <v>0.49500000000000011</v>
      </c>
      <c r="G8" s="6" t="s">
        <v>33</v>
      </c>
      <c r="H8" s="6">
        <v>1000</v>
      </c>
      <c r="I8" s="6">
        <f>ROUND(H8*0.75,0)</f>
        <v>750</v>
      </c>
      <c r="J8" s="7">
        <f>I8/H8-1</f>
        <v>-0.25</v>
      </c>
      <c r="L8" s="6" t="s">
        <v>33</v>
      </c>
      <c r="M8" s="22">
        <f t="shared" si="1"/>
        <v>9.9850224663005499E-3</v>
      </c>
      <c r="N8" s="6">
        <f t="shared" si="2"/>
        <v>200</v>
      </c>
      <c r="O8" s="22">
        <f t="shared" si="3"/>
        <v>1.4932802389248382E-2</v>
      </c>
      <c r="P8" s="6">
        <f t="shared" si="4"/>
        <v>299</v>
      </c>
      <c r="R8" s="6" t="s">
        <v>33</v>
      </c>
      <c r="S8" s="22">
        <f t="shared" si="13"/>
        <v>0.23980815347721823</v>
      </c>
      <c r="T8" s="22">
        <f t="shared" si="14"/>
        <v>0.33520179372197312</v>
      </c>
      <c r="U8" s="8">
        <f t="shared" si="5"/>
        <v>0.3977914798206279</v>
      </c>
      <c r="W8" s="6" t="s">
        <v>33</v>
      </c>
      <c r="X8" s="26">
        <f t="shared" si="6"/>
        <v>6.666666666666667</v>
      </c>
      <c r="Y8" s="26">
        <f t="shared" si="7"/>
        <v>4.9833333333333334</v>
      </c>
      <c r="Z8" s="8">
        <f t="shared" si="8"/>
        <v>-0.25250000000000006</v>
      </c>
      <c r="AB8" s="6" t="s">
        <v>33</v>
      </c>
      <c r="AC8" s="26">
        <f t="shared" si="15"/>
        <v>40</v>
      </c>
      <c r="AD8" s="26">
        <f t="shared" si="16"/>
        <v>59.800000000000004</v>
      </c>
      <c r="AE8" s="8">
        <f t="shared" si="9"/>
        <v>0.49500000000000011</v>
      </c>
    </row>
    <row r="9" spans="1:31" x14ac:dyDescent="0.2">
      <c r="A9" s="6" t="s">
        <v>34</v>
      </c>
      <c r="B9" s="9">
        <f t="shared" si="0"/>
        <v>0.5</v>
      </c>
      <c r="C9" s="8">
        <f t="shared" si="10"/>
        <v>1.7932455156950673</v>
      </c>
      <c r="D9" s="10">
        <f t="shared" si="11"/>
        <v>0.49374999999999991</v>
      </c>
      <c r="E9" s="34">
        <f t="shared" si="12"/>
        <v>1.9875000000000003</v>
      </c>
      <c r="G9" s="6" t="s">
        <v>34</v>
      </c>
      <c r="H9" s="6">
        <v>400</v>
      </c>
      <c r="I9" s="6">
        <f>ROUND(H9*1.5,0)</f>
        <v>600</v>
      </c>
      <c r="J9" s="7">
        <f>I9/H9-1</f>
        <v>0.5</v>
      </c>
      <c r="L9" s="6" t="s">
        <v>34</v>
      </c>
      <c r="M9" s="22">
        <f t="shared" si="1"/>
        <v>3.99400898652022E-3</v>
      </c>
      <c r="N9" s="6">
        <f t="shared" si="2"/>
        <v>80</v>
      </c>
      <c r="O9" s="22">
        <f t="shared" si="3"/>
        <v>1.1946241911398706E-2</v>
      </c>
      <c r="P9" s="6">
        <f t="shared" si="4"/>
        <v>239</v>
      </c>
      <c r="R9" s="6" t="s">
        <v>34</v>
      </c>
      <c r="S9" s="22">
        <f t="shared" si="13"/>
        <v>9.5923261390887291E-2</v>
      </c>
      <c r="T9" s="22">
        <f t="shared" si="14"/>
        <v>0.2679372197309417</v>
      </c>
      <c r="U9" s="8">
        <f t="shared" si="5"/>
        <v>1.7932455156950673</v>
      </c>
      <c r="W9" s="6" t="s">
        <v>34</v>
      </c>
      <c r="X9" s="26">
        <f t="shared" si="6"/>
        <v>2.666666666666667</v>
      </c>
      <c r="Y9" s="26">
        <f t="shared" si="7"/>
        <v>3.9833333333333334</v>
      </c>
      <c r="Z9" s="8">
        <f t="shared" si="8"/>
        <v>0.49374999999999991</v>
      </c>
      <c r="AB9" s="6" t="s">
        <v>34</v>
      </c>
      <c r="AC9" s="26">
        <f t="shared" si="15"/>
        <v>16</v>
      </c>
      <c r="AD9" s="26">
        <f t="shared" si="16"/>
        <v>47.800000000000004</v>
      </c>
      <c r="AE9" s="8">
        <f t="shared" si="9"/>
        <v>1.9875000000000003</v>
      </c>
    </row>
    <row r="10" spans="1:31" ht="17" thickBot="1" x14ac:dyDescent="0.25">
      <c r="A10" s="14" t="s">
        <v>35</v>
      </c>
      <c r="B10" s="15">
        <f t="shared" si="0"/>
        <v>0</v>
      </c>
      <c r="C10" s="16">
        <f t="shared" si="10"/>
        <v>0.86995515695067249</v>
      </c>
      <c r="D10" s="17">
        <f t="shared" si="11"/>
        <v>0</v>
      </c>
      <c r="E10" s="35">
        <f t="shared" si="12"/>
        <v>1</v>
      </c>
      <c r="G10" s="14" t="s">
        <v>35</v>
      </c>
      <c r="H10" s="14">
        <v>100</v>
      </c>
      <c r="I10" s="14">
        <f t="shared" ref="I10" si="17">H10</f>
        <v>100</v>
      </c>
      <c r="J10" s="20">
        <f>I10/H10-1</f>
        <v>0</v>
      </c>
      <c r="L10" s="14" t="s">
        <v>35</v>
      </c>
      <c r="M10" s="24">
        <f t="shared" si="1"/>
        <v>9.9850224663005499E-4</v>
      </c>
      <c r="N10" s="14">
        <f t="shared" si="2"/>
        <v>20</v>
      </c>
      <c r="O10" s="24">
        <f t="shared" si="3"/>
        <v>1.9910403185664509E-3</v>
      </c>
      <c r="P10" s="14">
        <f t="shared" si="4"/>
        <v>40</v>
      </c>
      <c r="R10" s="14" t="s">
        <v>35</v>
      </c>
      <c r="S10" s="24">
        <f t="shared" si="13"/>
        <v>2.3980815347721823E-2</v>
      </c>
      <c r="T10" s="24">
        <f t="shared" si="14"/>
        <v>4.4843049327354258E-2</v>
      </c>
      <c r="U10" s="16">
        <f t="shared" si="5"/>
        <v>0.86995515695067249</v>
      </c>
      <c r="W10" s="14" t="s">
        <v>35</v>
      </c>
      <c r="X10" s="28">
        <f t="shared" si="6"/>
        <v>0.66666666666666674</v>
      </c>
      <c r="Y10" s="28">
        <f t="shared" si="7"/>
        <v>0.66666666666666663</v>
      </c>
      <c r="Z10" s="16">
        <f t="shared" si="8"/>
        <v>0</v>
      </c>
      <c r="AB10" s="14" t="s">
        <v>35</v>
      </c>
      <c r="AC10" s="28">
        <f t="shared" si="15"/>
        <v>4</v>
      </c>
      <c r="AD10" s="28">
        <f t="shared" si="16"/>
        <v>8</v>
      </c>
      <c r="AE10" s="16">
        <f t="shared" si="9"/>
        <v>1</v>
      </c>
    </row>
    <row r="11" spans="1:31" ht="17" thickTop="1" x14ac:dyDescent="0.2">
      <c r="A11" s="11" t="s">
        <v>0</v>
      </c>
      <c r="B11" s="12">
        <f t="shared" si="0"/>
        <v>0</v>
      </c>
      <c r="C11" s="13">
        <f t="shared" si="10"/>
        <v>0.86995515695067271</v>
      </c>
      <c r="D11" s="13">
        <f t="shared" si="11"/>
        <v>0</v>
      </c>
      <c r="E11" s="13">
        <f t="shared" si="12"/>
        <v>1</v>
      </c>
      <c r="G11" s="11" t="s">
        <v>0</v>
      </c>
      <c r="H11" s="25">
        <v>150</v>
      </c>
      <c r="I11" s="25">
        <v>150</v>
      </c>
      <c r="J11" s="12">
        <v>0</v>
      </c>
      <c r="L11" s="11" t="s">
        <v>0</v>
      </c>
      <c r="M11" s="23">
        <f t="shared" si="1"/>
        <v>1.4977533699450823E-3</v>
      </c>
      <c r="N11" s="25">
        <f t="shared" si="2"/>
        <v>30</v>
      </c>
      <c r="O11" s="23">
        <f t="shared" si="3"/>
        <v>2.9865604778496766E-3</v>
      </c>
      <c r="P11" s="25">
        <f t="shared" si="4"/>
        <v>60</v>
      </c>
      <c r="R11" s="11" t="s">
        <v>0</v>
      </c>
      <c r="S11" s="23">
        <f t="shared" si="13"/>
        <v>3.5971223021582732E-2</v>
      </c>
      <c r="T11" s="23">
        <f t="shared" si="14"/>
        <v>6.726457399103139E-2</v>
      </c>
      <c r="U11" s="13">
        <f t="shared" si="5"/>
        <v>0.86995515695067271</v>
      </c>
      <c r="W11" s="11" t="s">
        <v>0</v>
      </c>
      <c r="X11" s="27">
        <f t="shared" si="6"/>
        <v>1</v>
      </c>
      <c r="Y11" s="27">
        <f t="shared" si="7"/>
        <v>1</v>
      </c>
      <c r="Z11" s="13">
        <f t="shared" si="8"/>
        <v>0</v>
      </c>
      <c r="AB11" s="11" t="s">
        <v>0</v>
      </c>
      <c r="AC11" s="27">
        <f t="shared" si="15"/>
        <v>6</v>
      </c>
      <c r="AD11" s="27">
        <f t="shared" si="16"/>
        <v>12</v>
      </c>
      <c r="AE11" s="13">
        <f t="shared" si="9"/>
        <v>1</v>
      </c>
    </row>
    <row r="12" spans="1:31" ht="17" thickBot="1" x14ac:dyDescent="0.25">
      <c r="A12" s="6" t="s">
        <v>1</v>
      </c>
      <c r="B12" s="7">
        <f t="shared" si="0"/>
        <v>0</v>
      </c>
      <c r="C12" s="8">
        <f t="shared" si="10"/>
        <v>-6.5022421524663754E-2</v>
      </c>
      <c r="D12" s="8">
        <f t="shared" si="11"/>
        <v>-0.50000000000000011</v>
      </c>
      <c r="E12" s="8">
        <f t="shared" si="12"/>
        <v>0</v>
      </c>
      <c r="G12" s="14" t="s">
        <v>1</v>
      </c>
      <c r="H12" s="19">
        <v>0</v>
      </c>
      <c r="I12" s="19">
        <v>0</v>
      </c>
      <c r="J12" s="20">
        <v>0</v>
      </c>
      <c r="L12" s="14" t="s">
        <v>1</v>
      </c>
      <c r="M12" s="24">
        <f t="shared" si="1"/>
        <v>0</v>
      </c>
      <c r="N12" s="40">
        <v>5</v>
      </c>
      <c r="O12" s="41">
        <f t="shared" si="3"/>
        <v>0</v>
      </c>
      <c r="P12" s="40">
        <v>5</v>
      </c>
      <c r="R12" s="14" t="s">
        <v>1</v>
      </c>
      <c r="S12" s="24">
        <f t="shared" si="13"/>
        <v>5.9952038369304557E-3</v>
      </c>
      <c r="T12" s="24">
        <f t="shared" si="14"/>
        <v>5.6053811659192822E-3</v>
      </c>
      <c r="U12" s="16">
        <f t="shared" si="5"/>
        <v>-6.5022421524663754E-2</v>
      </c>
      <c r="W12" s="6" t="s">
        <v>1</v>
      </c>
      <c r="X12" s="26">
        <f t="shared" si="6"/>
        <v>0.16666666666666669</v>
      </c>
      <c r="Y12" s="26">
        <f t="shared" si="7"/>
        <v>8.3333333333333329E-2</v>
      </c>
      <c r="Z12" s="8">
        <f t="shared" si="8"/>
        <v>-0.50000000000000011</v>
      </c>
      <c r="AB12" s="6" t="s">
        <v>1</v>
      </c>
      <c r="AC12" s="26">
        <f t="shared" si="15"/>
        <v>1</v>
      </c>
      <c r="AD12" s="26">
        <f t="shared" si="16"/>
        <v>1</v>
      </c>
      <c r="AE12" s="8">
        <f t="shared" si="9"/>
        <v>0</v>
      </c>
    </row>
    <row r="13" spans="1:31" ht="17" thickTop="1" x14ac:dyDescent="0.2">
      <c r="G13" s="11" t="s">
        <v>9</v>
      </c>
      <c r="H13" s="11">
        <f>SUM(H7:H12)</f>
        <v>4150</v>
      </c>
      <c r="I13" s="11">
        <f>SUM(I7:I12)</f>
        <v>2225</v>
      </c>
      <c r="J13" s="12">
        <f>I13/H13-1</f>
        <v>-0.46385542168674698</v>
      </c>
      <c r="L13" s="11" t="s">
        <v>9</v>
      </c>
      <c r="M13" s="23">
        <f>SUM(M7:M12)</f>
        <v>4.1437843235147272E-2</v>
      </c>
      <c r="N13" s="11">
        <f>SUM(N7:N12)</f>
        <v>834</v>
      </c>
      <c r="O13" s="23">
        <f>SUM(O7:O12)</f>
        <v>4.4300647088103537E-2</v>
      </c>
      <c r="P13" s="11">
        <f>SUM(P7:P12)</f>
        <v>892</v>
      </c>
      <c r="R13" s="11" t="s">
        <v>39</v>
      </c>
      <c r="S13" s="23">
        <f>SUM(S11:S12)</f>
        <v>4.1966426858513185E-2</v>
      </c>
      <c r="T13" s="23">
        <f>SUM(T11:T12)</f>
        <v>7.2869955156950675E-2</v>
      </c>
      <c r="U13" s="11"/>
      <c r="W13" s="2"/>
    </row>
    <row r="14" spans="1:31" x14ac:dyDescent="0.2">
      <c r="A14" s="63" t="s">
        <v>50</v>
      </c>
      <c r="B14" s="63"/>
      <c r="C14" s="63"/>
      <c r="D14" s="63"/>
      <c r="E14" s="63"/>
      <c r="G14" s="6" t="s">
        <v>8</v>
      </c>
      <c r="H14" s="6">
        <f>SUM(H6:H12)</f>
        <v>100150</v>
      </c>
      <c r="I14" s="6">
        <f>SUM(I6:I12)</f>
        <v>50225</v>
      </c>
      <c r="J14" s="7">
        <f>I14/H14-1</f>
        <v>-0.49850224663005493</v>
      </c>
      <c r="L14" s="6" t="s">
        <v>8</v>
      </c>
      <c r="M14" s="22">
        <f>SUM(M6:M12)</f>
        <v>0.99999999999999989</v>
      </c>
      <c r="N14" s="6">
        <f>SUM(N6:N12)</f>
        <v>20005</v>
      </c>
      <c r="O14" s="22">
        <f>SUM(O6:O12)</f>
        <v>1</v>
      </c>
      <c r="P14" s="6">
        <f>SUM(P6:P12)</f>
        <v>20006</v>
      </c>
      <c r="R14" s="6" t="s">
        <v>40</v>
      </c>
      <c r="S14" s="22">
        <f>SUM(S6:S12)</f>
        <v>1</v>
      </c>
      <c r="T14" s="22">
        <f>SUM(T6:T12)</f>
        <v>1</v>
      </c>
      <c r="U14" s="6"/>
      <c r="W14" s="2"/>
    </row>
    <row r="15" spans="1:31" x14ac:dyDescent="0.2">
      <c r="A15" s="63"/>
      <c r="B15" s="63"/>
      <c r="C15" s="63"/>
      <c r="D15" s="63"/>
      <c r="E15" s="63"/>
      <c r="L15" s="2"/>
    </row>
    <row r="16" spans="1:31" ht="16" customHeight="1" x14ac:dyDescent="0.2">
      <c r="G16" s="63" t="s">
        <v>52</v>
      </c>
      <c r="H16" s="63"/>
      <c r="I16" s="63"/>
      <c r="J16" s="63"/>
      <c r="L16" s="63" t="s">
        <v>48</v>
      </c>
      <c r="M16" s="63"/>
      <c r="N16" s="63"/>
      <c r="O16" s="63"/>
      <c r="P16" s="63"/>
      <c r="R16" s="63" t="s">
        <v>53</v>
      </c>
      <c r="S16" s="63"/>
      <c r="T16" s="63"/>
      <c r="U16" s="63"/>
      <c r="W16" s="63" t="s">
        <v>49</v>
      </c>
      <c r="X16" s="63"/>
      <c r="Y16" s="63"/>
      <c r="Z16" s="63"/>
      <c r="AB16" s="63" t="s">
        <v>51</v>
      </c>
      <c r="AC16" s="63"/>
      <c r="AD16" s="63"/>
      <c r="AE16" s="63"/>
    </row>
    <row r="17" spans="7:31" x14ac:dyDescent="0.2">
      <c r="G17" s="63"/>
      <c r="H17" s="63"/>
      <c r="I17" s="63"/>
      <c r="J17" s="63"/>
      <c r="L17" s="63"/>
      <c r="M17" s="63"/>
      <c r="N17" s="63"/>
      <c r="O17" s="63"/>
      <c r="P17" s="63"/>
      <c r="R17" s="63"/>
      <c r="S17" s="63"/>
      <c r="T17" s="63"/>
      <c r="U17" s="63"/>
      <c r="W17" s="63"/>
      <c r="X17" s="63"/>
      <c r="Y17" s="63"/>
      <c r="Z17" s="63"/>
      <c r="AB17" s="63"/>
      <c r="AC17" s="63"/>
      <c r="AD17" s="63"/>
      <c r="AE17" s="63"/>
    </row>
    <row r="18" spans="7:31" x14ac:dyDescent="0.2">
      <c r="G18" s="63"/>
      <c r="H18" s="63"/>
      <c r="I18" s="63"/>
      <c r="J18" s="63"/>
      <c r="R18" s="63"/>
      <c r="S18" s="63"/>
      <c r="T18" s="63"/>
      <c r="U18" s="63"/>
      <c r="W18" s="63"/>
      <c r="X18" s="63"/>
      <c r="Y18" s="63"/>
      <c r="Z18" s="63"/>
      <c r="AB18" s="63"/>
      <c r="AC18" s="63"/>
      <c r="AD18" s="63"/>
      <c r="AE18" s="63"/>
    </row>
    <row r="19" spans="7:31" x14ac:dyDescent="0.2">
      <c r="R19" s="63"/>
      <c r="S19" s="63"/>
      <c r="T19" s="63"/>
      <c r="U19" s="63"/>
      <c r="AB19" s="39"/>
      <c r="AC19" s="39"/>
      <c r="AD19" s="39"/>
      <c r="AE19" s="39"/>
    </row>
    <row r="20" spans="7:31" x14ac:dyDescent="0.2">
      <c r="R20" s="39"/>
      <c r="S20" s="39"/>
      <c r="T20" s="39"/>
      <c r="U20" s="39"/>
    </row>
  </sheetData>
  <mergeCells count="12">
    <mergeCell ref="W16:Z18"/>
    <mergeCell ref="R16:U19"/>
    <mergeCell ref="G16:J18"/>
    <mergeCell ref="AB16:AE18"/>
    <mergeCell ref="L16:P17"/>
    <mergeCell ref="W4:Z4"/>
    <mergeCell ref="AB4:AE4"/>
    <mergeCell ref="A14:E15"/>
    <mergeCell ref="A4:E4"/>
    <mergeCell ref="G4:J4"/>
    <mergeCell ref="L4:P4"/>
    <mergeCell ref="R4:U4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 S1</vt:lpstr>
      <vt:lpstr>Supplementary Tab S2</vt:lpstr>
      <vt:lpstr>Supplementary Tab S3</vt:lpstr>
      <vt:lpstr>Supplementary Tab S4</vt:lpstr>
      <vt:lpstr>Supplementary Tab S5</vt:lpstr>
      <vt:lpstr>Supplementary Tab 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Alexander McGee</dc:creator>
  <cp:lastModifiedBy>Warren Alexander McGee</cp:lastModifiedBy>
  <dcterms:created xsi:type="dcterms:W3CDTF">2018-05-31T20:31:48Z</dcterms:created>
  <dcterms:modified xsi:type="dcterms:W3CDTF">2019-01-25T19:32:32Z</dcterms:modified>
</cp:coreProperties>
</file>